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xr:revisionPtr revIDLastSave="320" documentId="8_{980AC0C0-7701-4EC2-B7E2-009480033F1C}" xr6:coauthVersionLast="47" xr6:coauthVersionMax="47" xr10:uidLastSave="{357521E2-8CCA-452B-BFB3-B388C86C366F}"/>
  <workbookProtection workbookAlgorithmName="SHA-512" workbookHashValue="3v7SoVH2kN6xKuVAb+sMddxfWILQ8XwMgRRrf71vej03V6918Ta1SGWmeaP9W45hTTa6i256lgBRotJMGkKGQQ==" workbookSaltValue="MomRKmtz18chcIIO22i2iQ==" workbookSpinCount="100000" lockStructure="1"/>
  <bookViews>
    <workbookView xWindow="-28920" yWindow="-1740" windowWidth="29040" windowHeight="17640" tabRatio="890" firstSheet="7" activeTab="7" xr2:uid="{00000000-000D-0000-FFFF-FFFF00000000}"/>
  </bookViews>
  <sheets>
    <sheet name="Information" sheetId="2" state="hidden" r:id="rId1"/>
    <sheet name="Header" sheetId="1" state="hidden" r:id="rId2"/>
    <sheet name="Executive Summary" sheetId="3" state="hidden" r:id="rId3"/>
    <sheet name="Sheet1" sheetId="10" state="hidden" r:id="rId4"/>
    <sheet name="Workings" sheetId="9" state="hidden" r:id="rId5"/>
    <sheet name="Supporting Data" sheetId="4" state="hidden" r:id="rId6"/>
    <sheet name="Evidence" sheetId="5" state="hidden" r:id="rId7"/>
    <sheet name="AP Formula 202425" sheetId="35" r:id="rId8"/>
    <sheet name="2425 AAR" sheetId="41" state="hidden" r:id="rId9"/>
    <sheet name="AP Formula 202324" sheetId="40" state="hidden" r:id="rId10"/>
    <sheet name="2425 Band Values" sheetId="37" state="hidden" r:id="rId11"/>
    <sheet name="2324 Band Values" sheetId="36" state="hidden" r:id="rId12"/>
    <sheet name="Benchmarking" sheetId="13" state="hidden" r:id="rId13"/>
    <sheet name="Trust Financials" sheetId="31" state="hidden" r:id="rId14"/>
    <sheet name="AP Formula 202122" sheetId="18" state="hidden" r:id="rId15"/>
    <sheet name="Rates" sheetId="26" state="hidden" r:id="rId16"/>
    <sheet name="MoU" sheetId="21" state="hidden" r:id="rId17"/>
    <sheet name="WS - Delivery Model" sheetId="11" state="hidden" r:id="rId18"/>
    <sheet name="2425 TA Pay Scales" sheetId="39" state="hidden" r:id="rId19"/>
    <sheet name="GLEA 2324" sheetId="38" state="hidden" r:id="rId20"/>
    <sheet name="WS - Structure" sheetId="15" state="hidden" r:id="rId21"/>
    <sheet name="WS - Budget Forecast" sheetId="14" state="hidden" r:id="rId22"/>
    <sheet name="2122 Band Values" sheetId="27" state="hidden" r:id="rId23"/>
    <sheet name="2122 Teachers Pay Scales" sheetId="28" state="hidden" r:id="rId24"/>
    <sheet name="GLEA SCALE" sheetId="34" state="hidden" r:id="rId25"/>
    <sheet name="TEACHING ASSISTANT 2021-22" sheetId="32" state="hidden" r:id="rId26"/>
    <sheet name="TEACHING ASSNT 2021-22" sheetId="33" state="hidden" r:id="rId27"/>
    <sheet name="2122 TA Pay Scales" sheetId="25" state="hidden" r:id="rId28"/>
    <sheet name="Leadership Pay" sheetId="30" state="hidden" r:id="rId29"/>
    <sheet name="Special Funding Summary" sheetId="29" state="hidden"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a" localSheetId="28">[1]Detailed_Output!$A$4:$U$230</definedName>
    <definedName name="a">[2]Detailed_Output!$A$4:$U$230</definedName>
    <definedName name="AAHel" localSheetId="22">#REF!</definedName>
    <definedName name="AAHel" localSheetId="27">#REF!</definedName>
    <definedName name="AAHel" localSheetId="23">#REF!</definedName>
    <definedName name="AAHel" localSheetId="11">#REF!</definedName>
    <definedName name="AAHel" localSheetId="29">#REF!</definedName>
    <definedName name="AAHel">#REF!</definedName>
    <definedName name="ABSG" localSheetId="22">#REF!</definedName>
    <definedName name="ABSG" localSheetId="27">#REF!</definedName>
    <definedName name="ABSG" localSheetId="23">#REF!</definedName>
    <definedName name="ABSG" localSheetId="11">#REF!</definedName>
    <definedName name="ABSG" localSheetId="29">#REF!</definedName>
    <definedName name="ABSG">#REF!</definedName>
    <definedName name="Acad_months">[3]Academies!$B$29:$B$40</definedName>
    <definedName name="AST" localSheetId="22">#REF!</definedName>
    <definedName name="AST" localSheetId="27">#REF!</definedName>
    <definedName name="AST" localSheetId="23">#REF!</definedName>
    <definedName name="AST" localSheetId="11">#REF!</definedName>
    <definedName name="AST" localSheetId="29">#REF!</definedName>
    <definedName name="AST">#REF!</definedName>
    <definedName name="BasketNo" localSheetId="22">#REF!</definedName>
    <definedName name="BasketNo" localSheetId="27">#REF!</definedName>
    <definedName name="BasketNo" localSheetId="23">#REF!</definedName>
    <definedName name="BasketNo" localSheetId="11">#REF!</definedName>
    <definedName name="BasketNo" localSheetId="29">#REF!</definedName>
    <definedName name="BasketNo">#REF!</definedName>
    <definedName name="BasketUoF_UnAdj" localSheetId="22">#REF!</definedName>
    <definedName name="BasketUoF_UnAdj" localSheetId="27">#REF!</definedName>
    <definedName name="BasketUoF_UnAdj" localSheetId="23">#REF!</definedName>
    <definedName name="BasketUoF_UnAdj" localSheetId="11">#REF!</definedName>
    <definedName name="BasketUoF_UnAdj" localSheetId="29">#REF!</definedName>
    <definedName name="BasketUoF_UnAdj">#REF!</definedName>
    <definedName name="DATA1" localSheetId="11">#REF!</definedName>
    <definedName name="DATA1">#REF!</definedName>
    <definedName name="DATA10" localSheetId="11">#REF!</definedName>
    <definedName name="DATA10">#REF!</definedName>
    <definedName name="DATA11" localSheetId="11">#REF!</definedName>
    <definedName name="DATA11">#REF!</definedName>
    <definedName name="DATA12" localSheetId="11">#REF!</definedName>
    <definedName name="DATA12">#REF!</definedName>
    <definedName name="DATA13" localSheetId="11">#REF!</definedName>
    <definedName name="DATA13">#REF!</definedName>
    <definedName name="DATA14" localSheetId="22">'[4]Staffing Est.'!#REF!</definedName>
    <definedName name="DATA14" localSheetId="27">'[4]Staffing Est.'!#REF!</definedName>
    <definedName name="DATA14" localSheetId="23">'[4]Staffing Est.'!#REF!</definedName>
    <definedName name="DATA14" localSheetId="29">'[4]Staffing Est.'!#REF!</definedName>
    <definedName name="DATA14">'[4]Staffing Est.'!#REF!</definedName>
    <definedName name="DATA2" localSheetId="22">#REF!</definedName>
    <definedName name="DATA2" localSheetId="27">#REF!</definedName>
    <definedName name="DATA2" localSheetId="23">#REF!</definedName>
    <definedName name="DATA2" localSheetId="11">#REF!</definedName>
    <definedName name="DATA2" localSheetId="28">#REF!</definedName>
    <definedName name="DATA2" localSheetId="29">#REF!</definedName>
    <definedName name="DATA2">#REF!</definedName>
    <definedName name="DATA3" localSheetId="22">#REF!</definedName>
    <definedName name="DATA3" localSheetId="27">#REF!</definedName>
    <definedName name="DATA3" localSheetId="23">#REF!</definedName>
    <definedName name="DATA3" localSheetId="11">#REF!</definedName>
    <definedName name="DATA3" localSheetId="28">#REF!</definedName>
    <definedName name="DATA3" localSheetId="29">#REF!</definedName>
    <definedName name="DATA3">#REF!</definedName>
    <definedName name="DATA4" localSheetId="22">#REF!</definedName>
    <definedName name="DATA4" localSheetId="27">#REF!</definedName>
    <definedName name="DATA4" localSheetId="23">#REF!</definedName>
    <definedName name="DATA4" localSheetId="11">#REF!</definedName>
    <definedName name="DATA4" localSheetId="28">#REF!</definedName>
    <definedName name="DATA4" localSheetId="29">#REF!</definedName>
    <definedName name="DATA4">#REF!</definedName>
    <definedName name="DATA5" localSheetId="11">#REF!</definedName>
    <definedName name="DATA5">#REF!</definedName>
    <definedName name="DATA6" localSheetId="11">#REF!</definedName>
    <definedName name="DATA6">#REF!</definedName>
    <definedName name="DATA7" localSheetId="11">#REF!</definedName>
    <definedName name="DATA7">#REF!</definedName>
    <definedName name="DATA8" localSheetId="11">#REF!</definedName>
    <definedName name="DATA8">#REF!</definedName>
    <definedName name="DATA9" localSheetId="11">#REF!</definedName>
    <definedName name="DATA9">#REF!</definedName>
    <definedName name="DDLIST" localSheetId="11">#REF!</definedName>
    <definedName name="DDLIST">#REF!</definedName>
    <definedName name="FSM_uc" localSheetId="11">#REF!</definedName>
    <definedName name="FSM_uc">#REF!</definedName>
    <definedName name="FSM_UC_FUTURE" localSheetId="11">#REF!</definedName>
    <definedName name="FSM_UC_FUTURE">#REF!</definedName>
    <definedName name="FTEall">[5]FTEall!$B$11:$S$160</definedName>
    <definedName name="gg" localSheetId="22">[6]Section52!#REF!</definedName>
    <definedName name="gg" localSheetId="27">[6]Section52!#REF!</definedName>
    <definedName name="gg" localSheetId="23">[6]Section52!#REF!</definedName>
    <definedName name="gg" localSheetId="29">[6]Section52!#REF!</definedName>
    <definedName name="gg">[6]Section52!#REF!</definedName>
    <definedName name="Gross_S52" localSheetId="22">#REF!</definedName>
    <definedName name="Gross_S52" localSheetId="27">#REF!</definedName>
    <definedName name="Gross_S52" localSheetId="23">#REF!</definedName>
    <definedName name="Gross_S52" localSheetId="11">#REF!</definedName>
    <definedName name="Gross_S52" localSheetId="29">#REF!</definedName>
    <definedName name="Gross_S52">#REF!</definedName>
    <definedName name="Indicator">[7]CodeSet!$A$1:$A$2</definedName>
    <definedName name="Indicator2">[7]CodeSet!$A$4:$A$6</definedName>
    <definedName name="LA_Choice">[8]Instructions!$E$20</definedName>
    <definedName name="LEA_Choice">[9]Instructions!$D$6</definedName>
    <definedName name="LEAcount" localSheetId="22">#REF!</definedName>
    <definedName name="LEAcount" localSheetId="27">#REF!</definedName>
    <definedName name="LEAcount" localSheetId="23">#REF!</definedName>
    <definedName name="LEAcount" localSheetId="11">#REF!</definedName>
    <definedName name="LEAcount" localSheetId="29">#REF!</definedName>
    <definedName name="LEAcount">#REF!</definedName>
    <definedName name="LIG">[10]LIG!$A$5:$J$154</definedName>
    <definedName name="ListLAs">'[11]LACSEG All LAs'!$A$4:$A$153</definedName>
    <definedName name="Meals" localSheetId="22">#REF!</definedName>
    <definedName name="Meals" localSheetId="27">#REF!</definedName>
    <definedName name="Meals" localSheetId="23">#REF!</definedName>
    <definedName name="Meals" localSheetId="11">#REF!</definedName>
    <definedName name="Meals" localSheetId="29">#REF!</definedName>
    <definedName name="Meals">#REF!</definedName>
    <definedName name="MealsHel" localSheetId="22">#REF!</definedName>
    <definedName name="MealsHel" localSheetId="27">#REF!</definedName>
    <definedName name="MealsHel" localSheetId="23">#REF!</definedName>
    <definedName name="MealsHel" localSheetId="11">#REF!</definedName>
    <definedName name="MealsHel" localSheetId="29">#REF!</definedName>
    <definedName name="MealsHel">#REF!</definedName>
    <definedName name="Mealsold" localSheetId="22">[6]Section52!#REF!</definedName>
    <definedName name="Mealsold" localSheetId="27">[6]Section52!#REF!</definedName>
    <definedName name="Mealsold" localSheetId="23">[6]Section52!#REF!</definedName>
    <definedName name="Mealsold" localSheetId="29">[6]Section52!#REF!</definedName>
    <definedName name="Mealsold">[6]Section52!#REF!</definedName>
    <definedName name="Names_Lookup">'[8]Background data'!$A$6:$Q$155</definedName>
    <definedName name="OptionsHel" localSheetId="22">#REF!</definedName>
    <definedName name="OptionsHel" localSheetId="27">#REF!</definedName>
    <definedName name="OptionsHel" localSheetId="23">#REF!</definedName>
    <definedName name="OptionsHel" localSheetId="11">#REF!</definedName>
    <definedName name="OptionsHel" localSheetId="29">#REF!</definedName>
    <definedName name="OptionsHel">#REF!</definedName>
    <definedName name="p" localSheetId="22">#REF!</definedName>
    <definedName name="p" localSheetId="27">#REF!</definedName>
    <definedName name="p" localSheetId="23">#REF!</definedName>
    <definedName name="p" localSheetId="11">#REF!</definedName>
    <definedName name="p" localSheetId="29">#REF!</definedName>
    <definedName name="p">#REF!</definedName>
    <definedName name="Phase_split">[10]all_asc!$A$12:$V$179</definedName>
    <definedName name="_xlnm.Print_Area" localSheetId="7">'AP Formula 202425'!$A$2:$D$87</definedName>
    <definedName name="_xlnm.Print_Area" localSheetId="24">'GLEA SCALE'!$A$1:$T$77</definedName>
    <definedName name="_xlnm.Print_Area" localSheetId="29">'Special Funding Summary'!$A$1:$H$125</definedName>
    <definedName name="_xlnm.Print_Area" localSheetId="25">'TEACHING ASSISTANT 2021-22'!$B$1:$U$40</definedName>
    <definedName name="_xlnm.Print_Area" localSheetId="26">'TEACHING ASSNT 2021-22'!$B$1:$U$40</definedName>
    <definedName name="PTR" localSheetId="22">#REF!</definedName>
    <definedName name="PTR" localSheetId="27">#REF!</definedName>
    <definedName name="PTR" localSheetId="23">#REF!</definedName>
    <definedName name="PTR" localSheetId="11">#REF!</definedName>
    <definedName name="PTR" localSheetId="29">#REF!</definedName>
    <definedName name="PTR">#REF!</definedName>
    <definedName name="PYEAR">'[12]Basic Information'!$G$14</definedName>
    <definedName name="qry_nor_list_a3_and_a4_cohorts_joined" localSheetId="22">#REF!</definedName>
    <definedName name="qry_nor_list_a3_and_a4_cohorts_joined" localSheetId="27">#REF!</definedName>
    <definedName name="qry_nor_list_a3_and_a4_cohorts_joined" localSheetId="23">#REF!</definedName>
    <definedName name="qry_nor_list_a3_and_a4_cohorts_joined" localSheetId="11">#REF!</definedName>
    <definedName name="qry_nor_list_a3_and_a4_cohorts_joined" localSheetId="28">#REF!</definedName>
    <definedName name="qry_nor_list_a3_and_a4_cohorts_joined" localSheetId="29">#REF!</definedName>
    <definedName name="qry_nor_list_a3_and_a4_cohorts_joined">#REF!</definedName>
    <definedName name="Query2" localSheetId="22">#REF!</definedName>
    <definedName name="Query2" localSheetId="27">#REF!</definedName>
    <definedName name="Query2" localSheetId="23">#REF!</definedName>
    <definedName name="Query2" localSheetId="11">#REF!</definedName>
    <definedName name="Query2" localSheetId="28">#REF!</definedName>
    <definedName name="Query2" localSheetId="29">#REF!</definedName>
    <definedName name="Query2">#REF!</definedName>
    <definedName name="Query3" localSheetId="22">#REF!</definedName>
    <definedName name="Query3" localSheetId="27">#REF!</definedName>
    <definedName name="Query3" localSheetId="23">#REF!</definedName>
    <definedName name="Query3" localSheetId="11">#REF!</definedName>
    <definedName name="Query3" localSheetId="28">#REF!</definedName>
    <definedName name="Query3" localSheetId="29">#REF!</definedName>
    <definedName name="Query3">#REF!</definedName>
    <definedName name="Query4" localSheetId="11">#REF!</definedName>
    <definedName name="Query4">#REF!</definedName>
    <definedName name="recoupamount">'[13]Academy Recoupment'!$D$39</definedName>
    <definedName name="SALARY">#N/A</definedName>
    <definedName name="school">'[14]FTE data'!$A$3:$BR$379</definedName>
    <definedName name="schools" localSheetId="22">#REF!</definedName>
    <definedName name="schools" localSheetId="27">#REF!</definedName>
    <definedName name="schools" localSheetId="23">#REF!</definedName>
    <definedName name="schools" localSheetId="11">#REF!</definedName>
    <definedName name="schools" localSheetId="29">#REF!</definedName>
    <definedName name="schools">#REF!</definedName>
    <definedName name="SchTypeList">[7]CodeSet!$C$1:$C$10</definedName>
    <definedName name="sec_asc" localSheetId="22">#REF!</definedName>
    <definedName name="sec_asc" localSheetId="27">#REF!</definedName>
    <definedName name="sec_asc" localSheetId="23">#REF!</definedName>
    <definedName name="sec_asc" localSheetId="11">#REF!</definedName>
    <definedName name="sec_asc" localSheetId="29">#REF!</definedName>
    <definedName name="sec_asc">#REF!</definedName>
    <definedName name="SEC_S52" localSheetId="22">#REF!</definedName>
    <definedName name="SEC_S52" localSheetId="27">#REF!</definedName>
    <definedName name="SEC_S52" localSheetId="23">#REF!</definedName>
    <definedName name="SEC_S52" localSheetId="11">#REF!</definedName>
    <definedName name="SEC_S52" localSheetId="29">#REF!</definedName>
    <definedName name="SEC_S52">#REF!</definedName>
    <definedName name="SEN" localSheetId="22">#REF!</definedName>
    <definedName name="SEN" localSheetId="27">#REF!</definedName>
    <definedName name="SEN" localSheetId="23">#REF!</definedName>
    <definedName name="SEN" localSheetId="11">#REF!</definedName>
    <definedName name="SEN" localSheetId="29">#REF!</definedName>
    <definedName name="SEN">#REF!</definedName>
    <definedName name="TableOne">'[10]S52 Sec'!$A$11:$CO$161</definedName>
    <definedName name="TableOneGross">'[5]S52 Gross'!$A$11:$CY$161</definedName>
    <definedName name="TableOneSec">'[5]S52 Sec'!$A$11:$CW$161</definedName>
    <definedName name="TEST1" localSheetId="22">#REF!</definedName>
    <definedName name="TEST1" localSheetId="27">#REF!</definedName>
    <definedName name="TEST1" localSheetId="23">#REF!</definedName>
    <definedName name="TEST1" localSheetId="11">#REF!</definedName>
    <definedName name="TEST1" localSheetId="28">#REF!</definedName>
    <definedName name="TEST1" localSheetId="29">#REF!</definedName>
    <definedName name="TEST1">#REF!</definedName>
    <definedName name="TESTHKEY" localSheetId="22">#REF!</definedName>
    <definedName name="TESTHKEY" localSheetId="27">#REF!</definedName>
    <definedName name="TESTHKEY" localSheetId="23">#REF!</definedName>
    <definedName name="TESTHKEY" localSheetId="11">#REF!</definedName>
    <definedName name="TESTHKEY" localSheetId="28">#REF!</definedName>
    <definedName name="TESTHKEY" localSheetId="29">#REF!</definedName>
    <definedName name="TESTHKEY">#REF!</definedName>
    <definedName name="TESTKEYS" localSheetId="22">#REF!</definedName>
    <definedName name="TESTKEYS" localSheetId="27">#REF!</definedName>
    <definedName name="TESTKEYS" localSheetId="23">#REF!</definedName>
    <definedName name="TESTKEYS" localSheetId="11">#REF!</definedName>
    <definedName name="TESTKEYS" localSheetId="28">#REF!</definedName>
    <definedName name="TESTKEYS" localSheetId="29">#REF!</definedName>
    <definedName name="TESTKEYS">#REF!</definedName>
    <definedName name="TESTVKEY" localSheetId="11">#REF!</definedName>
    <definedName name="TESTVKEY">#REF!</definedName>
    <definedName name="UoF_Adj" localSheetId="11">#REF!</definedName>
    <definedName name="UoF_Adj">#REF!</definedName>
    <definedName name="UoFHel" localSheetId="11">#REF!</definedName>
    <definedName name="UoFHel">#REF!</definedName>
    <definedName name="YEAR1">'[12]Basic Information'!$G$8</definedName>
    <definedName name="YEAR2">'[12]Basic Information'!$G$10</definedName>
    <definedName name="YEAR3">'[12]Basic Information'!$G$11</definedName>
    <definedName name="YEAR4">'[12]Basic Information'!$G$12</definedName>
    <definedName name="YEAR5">'[12]Basic Information'!$G$13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35" l="1"/>
  <c r="B22" i="35"/>
  <c r="B21" i="35"/>
  <c r="X79" i="11"/>
  <c r="U79" i="11"/>
  <c r="U78" i="11"/>
  <c r="X78" i="11" s="1"/>
  <c r="X77" i="11"/>
  <c r="U77" i="11"/>
  <c r="X65" i="11"/>
  <c r="U65" i="11" l="1"/>
  <c r="B8" i="40" l="1"/>
  <c r="B15" i="35"/>
  <c r="H12" i="37"/>
  <c r="F22" i="39"/>
  <c r="V62" i="11"/>
  <c r="B7" i="40" l="1"/>
  <c r="B30" i="35"/>
  <c r="B47" i="40" l="1"/>
  <c r="B30" i="40"/>
  <c r="B24" i="40"/>
  <c r="B23" i="40"/>
  <c r="B22" i="40"/>
  <c r="B26" i="40" s="1"/>
  <c r="B21" i="40"/>
  <c r="B15" i="40"/>
  <c r="B11" i="40"/>
  <c r="C11" i="40" s="1"/>
  <c r="B9" i="40"/>
  <c r="B18" i="40" s="1"/>
  <c r="B47" i="35" s="1"/>
  <c r="B37" i="40" l="1"/>
  <c r="B38" i="40" s="1"/>
  <c r="B28" i="40"/>
  <c r="B49" i="40"/>
  <c r="B50" i="40" s="1"/>
  <c r="B32" i="40" l="1"/>
  <c r="B53" i="40" s="1"/>
  <c r="B54" i="40" s="1"/>
  <c r="B43" i="40"/>
  <c r="B44" i="40" s="1"/>
  <c r="B11" i="35" l="1"/>
  <c r="F39" i="39"/>
  <c r="N39" i="39" s="1"/>
  <c r="F38" i="39"/>
  <c r="N38" i="39" s="1"/>
  <c r="F37" i="39"/>
  <c r="N37" i="39" s="1"/>
  <c r="F36" i="39"/>
  <c r="J36" i="39" s="1"/>
  <c r="F35" i="39"/>
  <c r="J35" i="39" s="1"/>
  <c r="F34" i="39"/>
  <c r="H34" i="39" s="1"/>
  <c r="F33" i="39"/>
  <c r="J33" i="39" s="1"/>
  <c r="F32" i="39"/>
  <c r="N32" i="39" s="1"/>
  <c r="F31" i="39"/>
  <c r="N31" i="39" s="1"/>
  <c r="F30" i="39"/>
  <c r="N30" i="39" s="1"/>
  <c r="F29" i="39"/>
  <c r="N29" i="39" s="1"/>
  <c r="F28" i="39"/>
  <c r="H28" i="39" s="1"/>
  <c r="F27" i="39"/>
  <c r="J27" i="39" s="1"/>
  <c r="F26" i="39"/>
  <c r="H26" i="39" s="1"/>
  <c r="F25" i="39"/>
  <c r="H25" i="39" s="1"/>
  <c r="F24" i="39"/>
  <c r="N24" i="39" s="1"/>
  <c r="F23" i="39"/>
  <c r="N23" i="39" s="1"/>
  <c r="J22" i="39"/>
  <c r="F21" i="39"/>
  <c r="N21" i="39" s="1"/>
  <c r="F20" i="39"/>
  <c r="J20" i="39" s="1"/>
  <c r="H11" i="39"/>
  <c r="C11" i="39"/>
  <c r="D10" i="39"/>
  <c r="C10" i="39"/>
  <c r="N33" i="39" l="1"/>
  <c r="R33" i="39" s="1"/>
  <c r="T33" i="39" s="1"/>
  <c r="N28" i="39"/>
  <c r="J37" i="39"/>
  <c r="N34" i="39"/>
  <c r="J34" i="39"/>
  <c r="L34" i="39" s="1"/>
  <c r="J29" i="39"/>
  <c r="J25" i="39"/>
  <c r="L25" i="39" s="1"/>
  <c r="J21" i="39"/>
  <c r="H36" i="39"/>
  <c r="N22" i="39"/>
  <c r="R22" i="39" s="1"/>
  <c r="T22" i="39" s="1"/>
  <c r="H33" i="39"/>
  <c r="N36" i="39"/>
  <c r="R36" i="39" s="1"/>
  <c r="T36" i="39" s="1"/>
  <c r="N25" i="39"/>
  <c r="R25" i="39" s="1"/>
  <c r="T25" i="39" s="1"/>
  <c r="H20" i="39"/>
  <c r="L20" i="39" s="1"/>
  <c r="L28" i="39"/>
  <c r="L33" i="39"/>
  <c r="J26" i="39"/>
  <c r="L26" i="39" s="1"/>
  <c r="N20" i="39"/>
  <c r="J28" i="39"/>
  <c r="L36" i="39"/>
  <c r="R29" i="39"/>
  <c r="T29" i="39" s="1"/>
  <c r="R21" i="39"/>
  <c r="T21" i="39" s="1"/>
  <c r="R37" i="39"/>
  <c r="T37" i="39" s="1"/>
  <c r="R30" i="39"/>
  <c r="T30" i="39" s="1"/>
  <c r="R38" i="39"/>
  <c r="T38" i="39" s="1"/>
  <c r="R24" i="39"/>
  <c r="T24" i="39" s="1"/>
  <c r="R32" i="39"/>
  <c r="T32" i="39" s="1"/>
  <c r="R39" i="39"/>
  <c r="T39" i="39" s="1"/>
  <c r="H32" i="39"/>
  <c r="N35" i="39"/>
  <c r="H39" i="39"/>
  <c r="L39" i="39" s="1"/>
  <c r="R20" i="39"/>
  <c r="T20" i="39" s="1"/>
  <c r="N27" i="39"/>
  <c r="J24" i="39"/>
  <c r="N26" i="39"/>
  <c r="H31" i="39"/>
  <c r="J32" i="39"/>
  <c r="J23" i="39"/>
  <c r="H30" i="39"/>
  <c r="J31" i="39"/>
  <c r="R34" i="39"/>
  <c r="T34" i="39" s="1"/>
  <c r="H38" i="39"/>
  <c r="J39" i="39"/>
  <c r="H24" i="39"/>
  <c r="R28" i="39"/>
  <c r="T28" i="39" s="1"/>
  <c r="H23" i="39"/>
  <c r="L23" i="39" s="1"/>
  <c r="H22" i="39"/>
  <c r="L22" i="39" s="1"/>
  <c r="H21" i="39"/>
  <c r="H29" i="39"/>
  <c r="J30" i="39"/>
  <c r="H37" i="39"/>
  <c r="L37" i="39" s="1"/>
  <c r="J38" i="39"/>
  <c r="R23" i="39"/>
  <c r="T23" i="39" s="1"/>
  <c r="H27" i="39"/>
  <c r="L27" i="39" s="1"/>
  <c r="X66" i="11" s="1"/>
  <c r="R31" i="39"/>
  <c r="T31" i="39" s="1"/>
  <c r="H35" i="39"/>
  <c r="L35" i="39" s="1"/>
  <c r="N61" i="11"/>
  <c r="X80" i="11" l="1"/>
  <c r="B24" i="35" s="1"/>
  <c r="L24" i="39"/>
  <c r="X67" i="11" s="1"/>
  <c r="L29" i="39"/>
  <c r="L32" i="39"/>
  <c r="L21" i="39"/>
  <c r="L38" i="39"/>
  <c r="L30" i="39"/>
  <c r="L31" i="39"/>
  <c r="R27" i="39"/>
  <c r="T27" i="39" s="1"/>
  <c r="R35" i="39"/>
  <c r="T35" i="39" s="1"/>
  <c r="R26" i="39"/>
  <c r="T26" i="39" s="1"/>
  <c r="S80" i="11"/>
  <c r="S79" i="11"/>
  <c r="S78" i="11"/>
  <c r="B8" i="35" l="1"/>
  <c r="B9" i="35" s="1"/>
  <c r="S77" i="11"/>
  <c r="S67" i="11"/>
  <c r="S66" i="11"/>
  <c r="S65" i="11"/>
  <c r="C11" i="35" l="1"/>
  <c r="BK30" i="36"/>
  <c r="BK28" i="36"/>
  <c r="BK26" i="36"/>
  <c r="BK24" i="36"/>
  <c r="BK22" i="36"/>
  <c r="BK14" i="36"/>
  <c r="BK11" i="36"/>
  <c r="BK8" i="36"/>
  <c r="BK5" i="36"/>
  <c r="W38" i="34" l="1"/>
  <c r="W39" i="34"/>
  <c r="F43" i="32"/>
  <c r="E65" i="34" l="1"/>
  <c r="F40" i="25"/>
  <c r="F69" i="25" l="1"/>
  <c r="E23" i="34"/>
  <c r="Q26" i="27"/>
  <c r="B51" i="18"/>
  <c r="AO40" i="36" l="1"/>
  <c r="B26" i="35"/>
  <c r="J43" i="32"/>
  <c r="H43" i="32"/>
  <c r="L43" i="32" s="1"/>
  <c r="R43" i="32"/>
  <c r="E81" i="34"/>
  <c r="B89" i="11" l="1"/>
  <c r="Z69" i="25"/>
  <c r="Z56" i="25"/>
  <c r="J69" i="25"/>
  <c r="J56" i="25"/>
  <c r="F56" i="25"/>
  <c r="H56" i="25" s="1"/>
  <c r="N68" i="25"/>
  <c r="L68" i="25"/>
  <c r="J68" i="25"/>
  <c r="H68" i="25"/>
  <c r="R67" i="25"/>
  <c r="T67" i="25" s="1"/>
  <c r="N67" i="25"/>
  <c r="J67" i="25"/>
  <c r="H67" i="25"/>
  <c r="L67" i="25" s="1"/>
  <c r="N66" i="25"/>
  <c r="L66" i="25"/>
  <c r="J66" i="25"/>
  <c r="H66" i="25"/>
  <c r="R65" i="25"/>
  <c r="T65" i="25" s="1"/>
  <c r="N65" i="25"/>
  <c r="J65" i="25"/>
  <c r="H65" i="25"/>
  <c r="L65" i="25" s="1"/>
  <c r="N64" i="25"/>
  <c r="L64" i="25"/>
  <c r="J64" i="25"/>
  <c r="H64" i="25"/>
  <c r="R63" i="25"/>
  <c r="T63" i="25" s="1"/>
  <c r="N63" i="25"/>
  <c r="J63" i="25"/>
  <c r="H63" i="25"/>
  <c r="L63" i="25" s="1"/>
  <c r="N62" i="25"/>
  <c r="L62" i="25"/>
  <c r="J62" i="25"/>
  <c r="H62" i="25"/>
  <c r="R61" i="25"/>
  <c r="T61" i="25" s="1"/>
  <c r="N61" i="25"/>
  <c r="J61" i="25"/>
  <c r="H61" i="25"/>
  <c r="L61" i="25" s="1"/>
  <c r="N60" i="25"/>
  <c r="L60" i="25"/>
  <c r="J60" i="25"/>
  <c r="H60" i="25"/>
  <c r="R59" i="25"/>
  <c r="T59" i="25" s="1"/>
  <c r="N59" i="25"/>
  <c r="J59" i="25"/>
  <c r="H59" i="25"/>
  <c r="L59" i="25" s="1"/>
  <c r="N58" i="25"/>
  <c r="L58" i="25"/>
  <c r="J58" i="25"/>
  <c r="H58" i="25"/>
  <c r="R57" i="25"/>
  <c r="T57" i="25" s="1"/>
  <c r="N57" i="25"/>
  <c r="J57" i="25"/>
  <c r="H57" i="25"/>
  <c r="L57" i="25" s="1"/>
  <c r="R55" i="25"/>
  <c r="T55" i="25" s="1"/>
  <c r="N55" i="25"/>
  <c r="J55" i="25"/>
  <c r="H55" i="25"/>
  <c r="L55" i="25" s="1"/>
  <c r="N54" i="25"/>
  <c r="L54" i="25"/>
  <c r="J54" i="25"/>
  <c r="H54" i="25"/>
  <c r="R53" i="25"/>
  <c r="T53" i="25" s="1"/>
  <c r="N53" i="25"/>
  <c r="J53" i="25"/>
  <c r="H53" i="25"/>
  <c r="L53" i="25" s="1"/>
  <c r="N52" i="25"/>
  <c r="L52" i="25"/>
  <c r="J52" i="25"/>
  <c r="H52" i="25"/>
  <c r="R51" i="25"/>
  <c r="T51" i="25" s="1"/>
  <c r="N51" i="25"/>
  <c r="J51" i="25"/>
  <c r="H51" i="25"/>
  <c r="L51" i="25" s="1"/>
  <c r="N50" i="25"/>
  <c r="L50" i="25"/>
  <c r="J50" i="25"/>
  <c r="H50" i="25"/>
  <c r="R49" i="25"/>
  <c r="T49" i="25" s="1"/>
  <c r="N49" i="25"/>
  <c r="J49" i="25"/>
  <c r="H49" i="25"/>
  <c r="L49" i="25" s="1"/>
  <c r="AF69" i="34"/>
  <c r="AF70" i="34"/>
  <c r="AF68" i="34"/>
  <c r="I69" i="34"/>
  <c r="I70" i="34"/>
  <c r="I68" i="34"/>
  <c r="E70" i="34"/>
  <c r="M70" i="34" s="1"/>
  <c r="E69" i="34"/>
  <c r="M69" i="34" s="1"/>
  <c r="Q69" i="34" s="1"/>
  <c r="S69" i="34" s="1"/>
  <c r="E68" i="34"/>
  <c r="M68" i="34"/>
  <c r="BI30" i="36"/>
  <c r="BE30" i="36"/>
  <c r="L30" i="36"/>
  <c r="AZ28" i="36"/>
  <c r="BI28" i="36" s="1"/>
  <c r="AZ26" i="36"/>
  <c r="BI26" i="36" s="1"/>
  <c r="BE26" i="36"/>
  <c r="AK25" i="36"/>
  <c r="BA24" i="36"/>
  <c r="AZ24" i="36"/>
  <c r="BI24" i="36" s="1"/>
  <c r="AV24" i="36"/>
  <c r="BE24" i="36"/>
  <c r="AK24" i="36"/>
  <c r="P24" i="36"/>
  <c r="N24" i="36"/>
  <c r="AV23" i="36"/>
  <c r="BI22" i="36"/>
  <c r="AZ22" i="36"/>
  <c r="BA22" i="36"/>
  <c r="AP22" i="36"/>
  <c r="AJ22" i="36"/>
  <c r="Q22" i="36"/>
  <c r="P22" i="36"/>
  <c r="R22" i="36" s="1"/>
  <c r="AV21" i="36"/>
  <c r="BE20" i="36"/>
  <c r="AV20" i="36"/>
  <c r="AQ20" i="36"/>
  <c r="P20" i="36"/>
  <c r="N20" i="36"/>
  <c r="AV19" i="36"/>
  <c r="AV18" i="36"/>
  <c r="BI17" i="36"/>
  <c r="AZ17" i="36"/>
  <c r="BA17" i="36"/>
  <c r="BB17" i="36" s="1"/>
  <c r="AP17" i="36"/>
  <c r="AU17" i="36"/>
  <c r="AJ17" i="36"/>
  <c r="AD17" i="36"/>
  <c r="AE17" i="36" s="1"/>
  <c r="X17" i="36"/>
  <c r="Y17" i="36" s="1"/>
  <c r="Q17" i="36"/>
  <c r="N17" i="36"/>
  <c r="AV16" i="36"/>
  <c r="AM16" i="36"/>
  <c r="AV15" i="36"/>
  <c r="AM15" i="36"/>
  <c r="BI14" i="36"/>
  <c r="AZ14" i="36"/>
  <c r="AP14" i="36"/>
  <c r="AM14" i="36"/>
  <c r="AJ14" i="36"/>
  <c r="AK14" i="36" s="1"/>
  <c r="AD14" i="36"/>
  <c r="AE14" i="36" s="1"/>
  <c r="Q14" i="36"/>
  <c r="P14" i="36"/>
  <c r="R14" i="36" s="1"/>
  <c r="AV13" i="36"/>
  <c r="AM13" i="36"/>
  <c r="AV12" i="36"/>
  <c r="AM12" i="36"/>
  <c r="AZ11" i="36"/>
  <c r="BI11" i="36" s="1"/>
  <c r="BE11" i="36"/>
  <c r="AU11" i="36"/>
  <c r="AT11" i="36"/>
  <c r="AP11" i="36"/>
  <c r="AQ11" i="36" s="1"/>
  <c r="AR11" i="36" s="1"/>
  <c r="AS11" i="36" s="1"/>
  <c r="AV11" i="36"/>
  <c r="AM11" i="36"/>
  <c r="Q11" i="36"/>
  <c r="P11" i="36"/>
  <c r="AV10" i="36"/>
  <c r="AM10" i="36"/>
  <c r="AV9" i="36"/>
  <c r="AM9" i="36"/>
  <c r="AZ8" i="36"/>
  <c r="AU8" i="36"/>
  <c r="AP8" i="36"/>
  <c r="AT8" i="36"/>
  <c r="AQ8" i="36"/>
  <c r="AR8" i="36" s="1"/>
  <c r="AS8" i="36" s="1"/>
  <c r="AD8" i="36"/>
  <c r="AE8" i="36" s="1"/>
  <c r="X8" i="36"/>
  <c r="Y8" i="36" s="1"/>
  <c r="Q8" i="36"/>
  <c r="N8" i="36"/>
  <c r="P8" i="36"/>
  <c r="R8" i="36" s="1"/>
  <c r="AV7" i="36"/>
  <c r="AM7" i="36"/>
  <c r="AV6" i="36"/>
  <c r="AM6" i="36"/>
  <c r="BI5" i="36"/>
  <c r="AZ5" i="36"/>
  <c r="BA5" i="36"/>
  <c r="BB5" i="36" s="1"/>
  <c r="AP5" i="36"/>
  <c r="AJ5" i="36"/>
  <c r="AK5" i="36" s="1"/>
  <c r="AD5" i="36"/>
  <c r="AE5" i="36" s="1"/>
  <c r="Q5" i="36"/>
  <c r="N5" i="36"/>
  <c r="F5" i="36"/>
  <c r="N56" i="11"/>
  <c r="F22" i="32"/>
  <c r="AV8" i="36" l="1"/>
  <c r="AD11" i="36"/>
  <c r="AE11" i="36" s="1"/>
  <c r="BA11" i="36"/>
  <c r="BB11" i="36" s="1"/>
  <c r="BM24" i="36"/>
  <c r="BO24" i="36" s="1"/>
  <c r="X5" i="36"/>
  <c r="Y5" i="36" s="1"/>
  <c r="AJ8" i="36"/>
  <c r="BE8" i="36"/>
  <c r="BM11" i="36"/>
  <c r="BO11" i="36" s="1"/>
  <c r="X14" i="36"/>
  <c r="Y14" i="36" s="1"/>
  <c r="AV17" i="36"/>
  <c r="AQ24" i="36"/>
  <c r="AM8" i="36"/>
  <c r="X11" i="36"/>
  <c r="Y11" i="36" s="1"/>
  <c r="AJ11" i="36"/>
  <c r="AK11" i="36" s="1"/>
  <c r="BE17" i="36"/>
  <c r="AO32" i="36" s="1"/>
  <c r="AO34" i="36" s="1"/>
  <c r="AO36" i="36" s="1"/>
  <c r="AU24" i="36"/>
  <c r="AL25" i="36"/>
  <c r="N56" i="25"/>
  <c r="L56" i="25"/>
  <c r="T52" i="25"/>
  <c r="T54" i="25"/>
  <c r="T60" i="25"/>
  <c r="T62" i="25"/>
  <c r="T68" i="25"/>
  <c r="H69" i="25"/>
  <c r="L69" i="25" s="1"/>
  <c r="R50" i="25"/>
  <c r="T50" i="25" s="1"/>
  <c r="R52" i="25"/>
  <c r="R54" i="25"/>
  <c r="R56" i="25"/>
  <c r="T56" i="25" s="1"/>
  <c r="R58" i="25"/>
  <c r="T58" i="25" s="1"/>
  <c r="R60" i="25"/>
  <c r="R62" i="25"/>
  <c r="R64" i="25"/>
  <c r="T64" i="25" s="1"/>
  <c r="R66" i="25"/>
  <c r="T66" i="25" s="1"/>
  <c r="R68" i="25"/>
  <c r="G70" i="34"/>
  <c r="Q70" i="34"/>
  <c r="S70" i="34" s="1"/>
  <c r="K70" i="34"/>
  <c r="Q68" i="34"/>
  <c r="S68" i="34" s="1"/>
  <c r="G69" i="34"/>
  <c r="K69" i="34" s="1"/>
  <c r="G68" i="34"/>
  <c r="K68" i="34" s="1"/>
  <c r="BM8" i="36"/>
  <c r="F17" i="36"/>
  <c r="AL17" i="36" s="1"/>
  <c r="P17" i="36"/>
  <c r="R17" i="36" s="1"/>
  <c r="AQ17" i="36"/>
  <c r="AR17" i="36" s="1"/>
  <c r="AS17" i="36" s="1"/>
  <c r="AM17" i="36"/>
  <c r="AU22" i="36"/>
  <c r="AQ22" i="36"/>
  <c r="AQ5" i="36"/>
  <c r="AR5" i="36" s="1"/>
  <c r="AS5" i="36" s="1"/>
  <c r="AM5" i="36"/>
  <c r="AK8" i="36"/>
  <c r="R11" i="36"/>
  <c r="BE28" i="36"/>
  <c r="P5" i="36"/>
  <c r="R5" i="36" s="1"/>
  <c r="AU5" i="36"/>
  <c r="AT5" i="36"/>
  <c r="AV5" i="36"/>
  <c r="BA14" i="36"/>
  <c r="BB14" i="36" s="1"/>
  <c r="BE14" i="36"/>
  <c r="BM14" i="36" s="1"/>
  <c r="F22" i="36"/>
  <c r="AL22" i="36" s="1"/>
  <c r="N22" i="36"/>
  <c r="AK22" i="36"/>
  <c r="AV22" i="36"/>
  <c r="AL5" i="36"/>
  <c r="BE5" i="36"/>
  <c r="BM5" i="36" s="1"/>
  <c r="BL5" i="36" s="1"/>
  <c r="F8" i="36"/>
  <c r="AL8" i="36" s="1"/>
  <c r="BA8" i="36"/>
  <c r="BB8" i="36" s="1"/>
  <c r="BI8" i="36"/>
  <c r="F11" i="36"/>
  <c r="N11" i="36"/>
  <c r="N14" i="36"/>
  <c r="F14" i="36"/>
  <c r="AL14" i="36" s="1"/>
  <c r="AV14" i="36"/>
  <c r="AT14" i="36"/>
  <c r="AU14" i="36"/>
  <c r="AQ14" i="36"/>
  <c r="AR14" i="36" s="1"/>
  <c r="AS14" i="36" s="1"/>
  <c r="AK17" i="36"/>
  <c r="BE22" i="36"/>
  <c r="BM22" i="36" s="1"/>
  <c r="BM30" i="36"/>
  <c r="AT17" i="36"/>
  <c r="F24" i="36"/>
  <c r="AL24" i="36"/>
  <c r="N58" i="11"/>
  <c r="B62" i="18"/>
  <c r="E67" i="34"/>
  <c r="I67" i="34" s="1"/>
  <c r="E66" i="34"/>
  <c r="I66" i="34" s="1"/>
  <c r="M65" i="34"/>
  <c r="E28" i="34"/>
  <c r="E27" i="34"/>
  <c r="E26" i="34"/>
  <c r="E25" i="34"/>
  <c r="BL11" i="36" l="1"/>
  <c r="BL24" i="36"/>
  <c r="AL11" i="36"/>
  <c r="BM26" i="36"/>
  <c r="B18" i="35"/>
  <c r="I65" i="34"/>
  <c r="BL14" i="36"/>
  <c r="BO14" i="36"/>
  <c r="BO5" i="36"/>
  <c r="BL22" i="36"/>
  <c r="BO22" i="36"/>
  <c r="BO8" i="36"/>
  <c r="BL8" i="36"/>
  <c r="BO30" i="36"/>
  <c r="BL30" i="36"/>
  <c r="BM28" i="36"/>
  <c r="M67" i="34"/>
  <c r="G67" i="34" s="1"/>
  <c r="K67" i="34" s="1"/>
  <c r="N79" i="11" s="1"/>
  <c r="M66" i="34"/>
  <c r="G65" i="34"/>
  <c r="K65" i="34" s="1"/>
  <c r="N65" i="11" s="1"/>
  <c r="Q65" i="34"/>
  <c r="S65" i="34" s="1"/>
  <c r="B49" i="35" l="1"/>
  <c r="B50" i="35" s="1"/>
  <c r="B37" i="35"/>
  <c r="B38" i="35"/>
  <c r="BO26" i="36"/>
  <c r="BL26" i="36"/>
  <c r="Q67" i="34"/>
  <c r="S67" i="34" s="1"/>
  <c r="BL28" i="36"/>
  <c r="BL33" i="36" s="1"/>
  <c r="BO28" i="36"/>
  <c r="Q66" i="34"/>
  <c r="S66" i="34" s="1"/>
  <c r="G66" i="34"/>
  <c r="K66" i="34" s="1"/>
  <c r="V32" i="34"/>
  <c r="B28" i="35" l="1"/>
  <c r="N78" i="11"/>
  <c r="N77" i="11"/>
  <c r="M64" i="34"/>
  <c r="I64" i="34"/>
  <c r="M63" i="34"/>
  <c r="G63" i="34" s="1"/>
  <c r="K63" i="34" s="1"/>
  <c r="I63" i="34"/>
  <c r="M62" i="34"/>
  <c r="Q62" i="34" s="1"/>
  <c r="S62" i="34" s="1"/>
  <c r="I62" i="34"/>
  <c r="M61" i="34"/>
  <c r="I61" i="34"/>
  <c r="M60" i="34"/>
  <c r="Q60" i="34" s="1"/>
  <c r="S60" i="34" s="1"/>
  <c r="I60" i="34"/>
  <c r="M59" i="34"/>
  <c r="G59" i="34" s="1"/>
  <c r="K59" i="34" s="1"/>
  <c r="I59" i="34"/>
  <c r="M58" i="34"/>
  <c r="Q58" i="34" s="1"/>
  <c r="S58" i="34" s="1"/>
  <c r="I58" i="34"/>
  <c r="M57" i="34"/>
  <c r="Q57" i="34" s="1"/>
  <c r="I57" i="34"/>
  <c r="M56" i="34"/>
  <c r="Q56" i="34" s="1"/>
  <c r="S56" i="34" s="1"/>
  <c r="I56" i="34"/>
  <c r="M55" i="34"/>
  <c r="G55" i="34" s="1"/>
  <c r="K55" i="34" s="1"/>
  <c r="I55" i="34"/>
  <c r="M54" i="34"/>
  <c r="Q54" i="34" s="1"/>
  <c r="S54" i="34" s="1"/>
  <c r="I54" i="34"/>
  <c r="M53" i="34"/>
  <c r="G53" i="34" s="1"/>
  <c r="I53" i="34"/>
  <c r="M52" i="34"/>
  <c r="Q52" i="34" s="1"/>
  <c r="S52" i="34" s="1"/>
  <c r="I52" i="34"/>
  <c r="M51" i="34"/>
  <c r="G51" i="34" s="1"/>
  <c r="I51" i="34"/>
  <c r="M50" i="34"/>
  <c r="Q50" i="34" s="1"/>
  <c r="S50" i="34" s="1"/>
  <c r="I50" i="34"/>
  <c r="M49" i="34"/>
  <c r="I49" i="34"/>
  <c r="M48" i="34"/>
  <c r="Q48" i="34" s="1"/>
  <c r="S48" i="34" s="1"/>
  <c r="I48" i="34"/>
  <c r="M47" i="34"/>
  <c r="G47" i="34" s="1"/>
  <c r="I47" i="34"/>
  <c r="M46" i="34"/>
  <c r="Q46" i="34" s="1"/>
  <c r="S46" i="34" s="1"/>
  <c r="I46" i="34"/>
  <c r="M45" i="34"/>
  <c r="G45" i="34" s="1"/>
  <c r="I45" i="34"/>
  <c r="M44" i="34"/>
  <c r="Q44" i="34" s="1"/>
  <c r="S44" i="34" s="1"/>
  <c r="I44" i="34"/>
  <c r="M43" i="34"/>
  <c r="I43" i="34"/>
  <c r="G43" i="34"/>
  <c r="K43" i="34" s="1"/>
  <c r="M42" i="34"/>
  <c r="Q42" i="34" s="1"/>
  <c r="S42" i="34" s="1"/>
  <c r="I42" i="34"/>
  <c r="M41" i="34"/>
  <c r="I41" i="34"/>
  <c r="M40" i="34"/>
  <c r="Q40" i="34" s="1"/>
  <c r="S40" i="34" s="1"/>
  <c r="I40" i="34"/>
  <c r="M39" i="34"/>
  <c r="G39" i="34" s="1"/>
  <c r="I39" i="34"/>
  <c r="M38" i="34"/>
  <c r="Q38" i="34" s="1"/>
  <c r="S38" i="34" s="1"/>
  <c r="I38" i="34"/>
  <c r="M37" i="34"/>
  <c r="G37" i="34" s="1"/>
  <c r="I37" i="34"/>
  <c r="M36" i="34"/>
  <c r="Q36" i="34" s="1"/>
  <c r="S36" i="34" s="1"/>
  <c r="I36" i="34"/>
  <c r="M35" i="34"/>
  <c r="G35" i="34" s="1"/>
  <c r="K35" i="34" s="1"/>
  <c r="I35" i="34"/>
  <c r="M34" i="34"/>
  <c r="Q34" i="34" s="1"/>
  <c r="S34" i="34" s="1"/>
  <c r="I34" i="34"/>
  <c r="M33" i="34"/>
  <c r="I33" i="34"/>
  <c r="M32" i="34"/>
  <c r="Q32" i="34" s="1"/>
  <c r="S32" i="34" s="1"/>
  <c r="I32" i="34"/>
  <c r="M31" i="34"/>
  <c r="G31" i="34" s="1"/>
  <c r="K31" i="34" s="1"/>
  <c r="I31" i="34"/>
  <c r="M30" i="34"/>
  <c r="Q30" i="34" s="1"/>
  <c r="S30" i="34" s="1"/>
  <c r="I30" i="34"/>
  <c r="M29" i="34"/>
  <c r="I29" i="34"/>
  <c r="M28" i="34"/>
  <c r="Q28" i="34" s="1"/>
  <c r="S28" i="34" s="1"/>
  <c r="I28" i="34"/>
  <c r="M27" i="34"/>
  <c r="G27" i="34" s="1"/>
  <c r="I27" i="34"/>
  <c r="M26" i="34"/>
  <c r="Q26" i="34" s="1"/>
  <c r="S26" i="34" s="1"/>
  <c r="I26" i="34"/>
  <c r="M25" i="34"/>
  <c r="I25" i="34"/>
  <c r="M24" i="34"/>
  <c r="Q24" i="34" s="1"/>
  <c r="S24" i="34" s="1"/>
  <c r="I24" i="34"/>
  <c r="M23" i="34"/>
  <c r="Q23" i="34" s="1"/>
  <c r="I23" i="34"/>
  <c r="M22" i="34"/>
  <c r="Q22" i="34" s="1"/>
  <c r="S22" i="34" s="1"/>
  <c r="I22" i="34"/>
  <c r="M21" i="34"/>
  <c r="G21" i="34" s="1"/>
  <c r="I21" i="34"/>
  <c r="M20" i="34"/>
  <c r="Q20" i="34" s="1"/>
  <c r="S20" i="34" s="1"/>
  <c r="I20" i="34"/>
  <c r="M19" i="34"/>
  <c r="G19" i="34" s="1"/>
  <c r="I19" i="34"/>
  <c r="M18" i="34"/>
  <c r="Q18" i="34" s="1"/>
  <c r="S18" i="34" s="1"/>
  <c r="I18" i="34"/>
  <c r="S11" i="34"/>
  <c r="O11" i="34"/>
  <c r="K11" i="34"/>
  <c r="I11" i="34"/>
  <c r="G11" i="34"/>
  <c r="E11" i="34"/>
  <c r="B11" i="34"/>
  <c r="S10" i="34"/>
  <c r="K10" i="34"/>
  <c r="I10" i="34"/>
  <c r="G10" i="34"/>
  <c r="E10" i="34"/>
  <c r="C10" i="34"/>
  <c r="B10" i="34"/>
  <c r="S9" i="34"/>
  <c r="G9" i="34"/>
  <c r="E9" i="34"/>
  <c r="C9" i="34"/>
  <c r="B9" i="34"/>
  <c r="C8" i="34"/>
  <c r="B43" i="35" l="1"/>
  <c r="B32" i="35"/>
  <c r="B53" i="35" s="1"/>
  <c r="B44" i="35"/>
  <c r="K39" i="34"/>
  <c r="K47" i="34"/>
  <c r="K51" i="34"/>
  <c r="Q19" i="34"/>
  <c r="S19" i="34" s="1"/>
  <c r="K21" i="34"/>
  <c r="G23" i="34"/>
  <c r="K23" i="34" s="1"/>
  <c r="K37" i="34"/>
  <c r="K53" i="34"/>
  <c r="Q21" i="34"/>
  <c r="S21" i="34" s="1"/>
  <c r="K45" i="34"/>
  <c r="S49" i="34"/>
  <c r="Q33" i="34"/>
  <c r="S33" i="34" s="1"/>
  <c r="Q37" i="34"/>
  <c r="S37" i="34" s="1"/>
  <c r="Q41" i="34"/>
  <c r="S41" i="34" s="1"/>
  <c r="Q45" i="34"/>
  <c r="S45" i="34" s="1"/>
  <c r="Q49" i="34"/>
  <c r="Q53" i="34"/>
  <c r="S53" i="34" s="1"/>
  <c r="Q61" i="34"/>
  <c r="S61" i="34" s="1"/>
  <c r="S57" i="34"/>
  <c r="G33" i="34"/>
  <c r="K33" i="34" s="1"/>
  <c r="G41" i="34"/>
  <c r="K41" i="34" s="1"/>
  <c r="S43" i="34"/>
  <c r="G49" i="34"/>
  <c r="K49" i="34" s="1"/>
  <c r="G57" i="34"/>
  <c r="K57" i="34" s="1"/>
  <c r="S59" i="34"/>
  <c r="G61" i="34"/>
  <c r="K61" i="34" s="1"/>
  <c r="K19" i="34"/>
  <c r="Q31" i="34"/>
  <c r="S31" i="34" s="1"/>
  <c r="Q35" i="34"/>
  <c r="S35" i="34" s="1"/>
  <c r="Q39" i="34"/>
  <c r="S39" i="34" s="1"/>
  <c r="Q43" i="34"/>
  <c r="Q47" i="34"/>
  <c r="S47" i="34" s="1"/>
  <c r="Q51" i="34"/>
  <c r="S51" i="34" s="1"/>
  <c r="Q55" i="34"/>
  <c r="S55" i="34" s="1"/>
  <c r="Q59" i="34"/>
  <c r="Q63" i="34"/>
  <c r="S63" i="34" s="1"/>
  <c r="K27" i="34"/>
  <c r="Q27" i="34"/>
  <c r="S27" i="34" s="1"/>
  <c r="Q25" i="34"/>
  <c r="S25" i="34" s="1"/>
  <c r="G25" i="34"/>
  <c r="K25" i="34" s="1"/>
  <c r="Q29" i="34"/>
  <c r="S29" i="34" s="1"/>
  <c r="G29" i="34"/>
  <c r="K29" i="34" s="1"/>
  <c r="S23" i="34"/>
  <c r="G18" i="34"/>
  <c r="K18" i="34" s="1"/>
  <c r="G20" i="34"/>
  <c r="K20" i="34" s="1"/>
  <c r="G22" i="34"/>
  <c r="K22" i="34" s="1"/>
  <c r="G24" i="34"/>
  <c r="K24" i="34" s="1"/>
  <c r="G26" i="34"/>
  <c r="K26" i="34" s="1"/>
  <c r="G28" i="34"/>
  <c r="K28" i="34" s="1"/>
  <c r="G30" i="34"/>
  <c r="K30" i="34" s="1"/>
  <c r="G32" i="34"/>
  <c r="K32" i="34" s="1"/>
  <c r="G34" i="34"/>
  <c r="K34" i="34" s="1"/>
  <c r="G36" i="34"/>
  <c r="K36" i="34" s="1"/>
  <c r="G38" i="34"/>
  <c r="K38" i="34" s="1"/>
  <c r="G40" i="34"/>
  <c r="K40" i="34" s="1"/>
  <c r="G42" i="34"/>
  <c r="K42" i="34" s="1"/>
  <c r="G44" i="34"/>
  <c r="K44" i="34" s="1"/>
  <c r="G46" i="34"/>
  <c r="K46" i="34" s="1"/>
  <c r="G48" i="34"/>
  <c r="K48" i="34" s="1"/>
  <c r="G50" i="34"/>
  <c r="K50" i="34" s="1"/>
  <c r="G52" i="34"/>
  <c r="K52" i="34" s="1"/>
  <c r="G54" i="34"/>
  <c r="K54" i="34" s="1"/>
  <c r="G56" i="34"/>
  <c r="K56" i="34" s="1"/>
  <c r="G58" i="34"/>
  <c r="K58" i="34" s="1"/>
  <c r="G60" i="34"/>
  <c r="K60" i="34" s="1"/>
  <c r="G62" i="34"/>
  <c r="K62" i="34" s="1"/>
  <c r="G64" i="34"/>
  <c r="K64" i="34" s="1"/>
  <c r="Q64" i="34"/>
  <c r="S64" i="34" s="1"/>
  <c r="B54" i="35" l="1"/>
  <c r="J39" i="33"/>
  <c r="J38" i="33"/>
  <c r="L38" i="33" s="1"/>
  <c r="H38" i="33"/>
  <c r="N38" i="33"/>
  <c r="J37" i="33"/>
  <c r="H37" i="33"/>
  <c r="N37" i="33"/>
  <c r="J35" i="33"/>
  <c r="J34" i="33"/>
  <c r="H34" i="33"/>
  <c r="N34" i="33"/>
  <c r="J33" i="33"/>
  <c r="H33" i="33"/>
  <c r="N33" i="33"/>
  <c r="J31" i="33"/>
  <c r="J30" i="33"/>
  <c r="L30" i="33" s="1"/>
  <c r="H30" i="33"/>
  <c r="N30" i="33"/>
  <c r="J29" i="33"/>
  <c r="H29" i="33"/>
  <c r="N29" i="33"/>
  <c r="J27" i="33"/>
  <c r="J26" i="33"/>
  <c r="H26" i="33"/>
  <c r="N26" i="33"/>
  <c r="J25" i="33"/>
  <c r="H25" i="33"/>
  <c r="N25" i="33"/>
  <c r="J23" i="33"/>
  <c r="J22" i="33"/>
  <c r="H22" i="33"/>
  <c r="N22" i="33"/>
  <c r="J21" i="33"/>
  <c r="H21" i="33"/>
  <c r="N21" i="33"/>
  <c r="H11" i="33"/>
  <c r="C11" i="33"/>
  <c r="D10" i="33"/>
  <c r="C10" i="33"/>
  <c r="J39" i="32"/>
  <c r="H39" i="32"/>
  <c r="N39" i="32"/>
  <c r="J37" i="32"/>
  <c r="J36" i="32"/>
  <c r="L36" i="32" s="1"/>
  <c r="H36" i="32"/>
  <c r="N36" i="32"/>
  <c r="J35" i="32"/>
  <c r="H35" i="32"/>
  <c r="N35" i="32"/>
  <c r="J33" i="32"/>
  <c r="J32" i="32"/>
  <c r="H32" i="32"/>
  <c r="N32" i="32"/>
  <c r="J31" i="32"/>
  <c r="H31" i="32"/>
  <c r="N31" i="32"/>
  <c r="J29" i="32"/>
  <c r="J28" i="32"/>
  <c r="H28" i="32"/>
  <c r="N28" i="32"/>
  <c r="J27" i="32"/>
  <c r="H27" i="32"/>
  <c r="N27" i="32"/>
  <c r="J25" i="32"/>
  <c r="J24" i="32"/>
  <c r="H24" i="32"/>
  <c r="N24" i="32"/>
  <c r="J23" i="32"/>
  <c r="H23" i="32"/>
  <c r="N23" i="32"/>
  <c r="J21" i="32"/>
  <c r="J20" i="32"/>
  <c r="L20" i="32" s="1"/>
  <c r="H20" i="32"/>
  <c r="N20" i="32"/>
  <c r="H11" i="32"/>
  <c r="C11" i="32"/>
  <c r="D10" i="32"/>
  <c r="C10" i="32"/>
  <c r="L26" i="33" l="1"/>
  <c r="L32" i="32"/>
  <c r="L22" i="33"/>
  <c r="L28" i="32"/>
  <c r="L24" i="32"/>
  <c r="L34" i="33"/>
  <c r="R22" i="33"/>
  <c r="T22" i="33" s="1"/>
  <c r="R26" i="33"/>
  <c r="T26" i="33" s="1"/>
  <c r="R30" i="33"/>
  <c r="T30" i="33" s="1"/>
  <c r="R34" i="33"/>
  <c r="T34" i="33" s="1"/>
  <c r="R38" i="33"/>
  <c r="T38" i="33" s="1"/>
  <c r="R21" i="33"/>
  <c r="T21" i="33" s="1"/>
  <c r="R25" i="33"/>
  <c r="T25" i="33"/>
  <c r="R29" i="33"/>
  <c r="T29" i="33" s="1"/>
  <c r="R33" i="33"/>
  <c r="T33" i="33" s="1"/>
  <c r="R37" i="33"/>
  <c r="T37" i="33" s="1"/>
  <c r="H20" i="33"/>
  <c r="N23" i="33"/>
  <c r="H24" i="33"/>
  <c r="L24" i="33" s="1"/>
  <c r="N27" i="33"/>
  <c r="H28" i="33"/>
  <c r="N31" i="33"/>
  <c r="H32" i="33"/>
  <c r="N35" i="33"/>
  <c r="H36" i="33"/>
  <c r="N39" i="33"/>
  <c r="J20" i="33"/>
  <c r="L21" i="33"/>
  <c r="H23" i="33"/>
  <c r="L23" i="33" s="1"/>
  <c r="J24" i="33"/>
  <c r="L25" i="33"/>
  <c r="H27" i="33"/>
  <c r="L27" i="33" s="1"/>
  <c r="J28" i="33"/>
  <c r="L29" i="33"/>
  <c r="H31" i="33"/>
  <c r="L31" i="33" s="1"/>
  <c r="J32" i="33"/>
  <c r="L33" i="33"/>
  <c r="H35" i="33"/>
  <c r="L35" i="33" s="1"/>
  <c r="J36" i="33"/>
  <c r="L37" i="33"/>
  <c r="H39" i="33"/>
  <c r="L39" i="33" s="1"/>
  <c r="N20" i="33"/>
  <c r="N24" i="33"/>
  <c r="N28" i="33"/>
  <c r="N32" i="33"/>
  <c r="N36" i="33"/>
  <c r="R20" i="32"/>
  <c r="T20" i="32" s="1"/>
  <c r="R24" i="32"/>
  <c r="T24" i="32" s="1"/>
  <c r="R28" i="32"/>
  <c r="T28" i="32"/>
  <c r="R32" i="32"/>
  <c r="T32" i="32" s="1"/>
  <c r="R36" i="32"/>
  <c r="T36" i="32" s="1"/>
  <c r="T23" i="32"/>
  <c r="R23" i="32"/>
  <c r="R27" i="32"/>
  <c r="T27" i="32" s="1"/>
  <c r="R31" i="32"/>
  <c r="T31" i="32" s="1"/>
  <c r="R35" i="32"/>
  <c r="T35" i="32" s="1"/>
  <c r="R39" i="32"/>
  <c r="T39" i="32" s="1"/>
  <c r="N22" i="32"/>
  <c r="N30" i="32"/>
  <c r="N38" i="32"/>
  <c r="H22" i="32"/>
  <c r="L22" i="32" s="1"/>
  <c r="N80" i="11" s="1"/>
  <c r="H26" i="32"/>
  <c r="H30" i="32"/>
  <c r="N33" i="32"/>
  <c r="N37" i="32"/>
  <c r="H38" i="32"/>
  <c r="H21" i="32"/>
  <c r="L21" i="32" s="1"/>
  <c r="J22" i="32"/>
  <c r="L23" i="32"/>
  <c r="H25" i="32"/>
  <c r="L25" i="32" s="1"/>
  <c r="J26" i="32"/>
  <c r="L27" i="32"/>
  <c r="H29" i="32"/>
  <c r="L29" i="32" s="1"/>
  <c r="J30" i="32"/>
  <c r="L31" i="32"/>
  <c r="H33" i="32"/>
  <c r="L33" i="32" s="1"/>
  <c r="J34" i="32"/>
  <c r="L35" i="32"/>
  <c r="H37" i="32"/>
  <c r="L37" i="32" s="1"/>
  <c r="J38" i="32"/>
  <c r="L39" i="32"/>
  <c r="N26" i="32"/>
  <c r="N34" i="32"/>
  <c r="N21" i="32"/>
  <c r="N25" i="32"/>
  <c r="N29" i="32"/>
  <c r="H34" i="32"/>
  <c r="L34" i="32" s="1"/>
  <c r="L38" i="32" l="1"/>
  <c r="L26" i="32"/>
  <c r="L28" i="33"/>
  <c r="L32" i="33"/>
  <c r="L30" i="32"/>
  <c r="L36" i="33"/>
  <c r="L20" i="33"/>
  <c r="R24" i="33"/>
  <c r="T24" i="33" s="1"/>
  <c r="R36" i="33"/>
  <c r="T36" i="33" s="1"/>
  <c r="R20" i="33"/>
  <c r="T20" i="33" s="1"/>
  <c r="R39" i="33"/>
  <c r="T39" i="33" s="1"/>
  <c r="R31" i="33"/>
  <c r="T31" i="33" s="1"/>
  <c r="R23" i="33"/>
  <c r="T23" i="33" s="1"/>
  <c r="R32" i="33"/>
  <c r="T32" i="33" s="1"/>
  <c r="R28" i="33"/>
  <c r="T28" i="33" s="1"/>
  <c r="R35" i="33"/>
  <c r="T35" i="33" s="1"/>
  <c r="R27" i="33"/>
  <c r="T27" i="33" s="1"/>
  <c r="R34" i="32"/>
  <c r="T34" i="32" s="1"/>
  <c r="R30" i="32"/>
  <c r="T30" i="32" s="1"/>
  <c r="R22" i="32"/>
  <c r="T22" i="32" s="1"/>
  <c r="R21" i="32"/>
  <c r="T21" i="32" s="1"/>
  <c r="R33" i="32"/>
  <c r="T33" i="32" s="1"/>
  <c r="R38" i="32"/>
  <c r="T38" i="32" s="1"/>
  <c r="R29" i="32"/>
  <c r="T29" i="32" s="1"/>
  <c r="R26" i="32"/>
  <c r="T26" i="32" s="1"/>
  <c r="R25" i="32"/>
  <c r="T25" i="32" s="1"/>
  <c r="R37" i="32"/>
  <c r="T37" i="32" s="1"/>
  <c r="D17" i="18" l="1"/>
  <c r="B17" i="18"/>
  <c r="F17" i="18" s="1"/>
  <c r="B32" i="18"/>
  <c r="N59" i="11"/>
  <c r="B36" i="18" s="1"/>
  <c r="E153" i="28" l="1"/>
  <c r="R17" i="27"/>
  <c r="B57" i="18"/>
  <c r="E58" i="30" l="1"/>
  <c r="L57" i="30"/>
  <c r="N57" i="30" s="1"/>
  <c r="I57" i="30"/>
  <c r="L56" i="30"/>
  <c r="I56" i="30"/>
  <c r="L55" i="30"/>
  <c r="N55" i="30" s="1"/>
  <c r="I55" i="30"/>
  <c r="L54" i="30"/>
  <c r="I54" i="30"/>
  <c r="L53" i="30"/>
  <c r="N53" i="30" s="1"/>
  <c r="I53" i="30"/>
  <c r="L52" i="30"/>
  <c r="I52" i="30"/>
  <c r="L51" i="30"/>
  <c r="N51" i="30" s="1"/>
  <c r="I51" i="30"/>
  <c r="L50" i="30"/>
  <c r="I50" i="30"/>
  <c r="L49" i="30"/>
  <c r="N49" i="30" s="1"/>
  <c r="I49" i="30"/>
  <c r="L48" i="30"/>
  <c r="N48" i="30" s="1"/>
  <c r="P48" i="30" s="1"/>
  <c r="I48" i="30"/>
  <c r="L47" i="30"/>
  <c r="N47" i="30" s="1"/>
  <c r="I47" i="30"/>
  <c r="L46" i="30"/>
  <c r="N46" i="30" s="1"/>
  <c r="P46" i="30" s="1"/>
  <c r="I46" i="30"/>
  <c r="L45" i="30"/>
  <c r="N45" i="30" s="1"/>
  <c r="I45" i="30"/>
  <c r="L44" i="30"/>
  <c r="N44" i="30" s="1"/>
  <c r="P44" i="30" s="1"/>
  <c r="I44" i="30"/>
  <c r="L43" i="30"/>
  <c r="N43" i="30" s="1"/>
  <c r="I43" i="30"/>
  <c r="L42" i="30"/>
  <c r="N42" i="30" s="1"/>
  <c r="P42" i="30" s="1"/>
  <c r="I42" i="30"/>
  <c r="L41" i="30"/>
  <c r="N41" i="30" s="1"/>
  <c r="I41" i="30"/>
  <c r="L40" i="30"/>
  <c r="N40" i="30" s="1"/>
  <c r="P40" i="30" s="1"/>
  <c r="I40" i="30"/>
  <c r="L39" i="30"/>
  <c r="N39" i="30" s="1"/>
  <c r="I39" i="30"/>
  <c r="L38" i="30"/>
  <c r="N38" i="30" s="1"/>
  <c r="P38" i="30" s="1"/>
  <c r="I38" i="30"/>
  <c r="L37" i="30"/>
  <c r="N37" i="30" s="1"/>
  <c r="I37" i="30"/>
  <c r="L36" i="30"/>
  <c r="N36" i="30" s="1"/>
  <c r="P36" i="30" s="1"/>
  <c r="I36" i="30"/>
  <c r="L35" i="30"/>
  <c r="N35" i="30" s="1"/>
  <c r="I35" i="30"/>
  <c r="L34" i="30"/>
  <c r="N34" i="30" s="1"/>
  <c r="P34" i="30" s="1"/>
  <c r="I34" i="30"/>
  <c r="L33" i="30"/>
  <c r="N33" i="30" s="1"/>
  <c r="I33" i="30"/>
  <c r="L32" i="30"/>
  <c r="N32" i="30" s="1"/>
  <c r="P32" i="30" s="1"/>
  <c r="I32" i="30"/>
  <c r="L31" i="30"/>
  <c r="N31" i="30" s="1"/>
  <c r="I31" i="30"/>
  <c r="L30" i="30"/>
  <c r="N30" i="30" s="1"/>
  <c r="P30" i="30" s="1"/>
  <c r="I30" i="30"/>
  <c r="L29" i="30"/>
  <c r="N29" i="30" s="1"/>
  <c r="I29" i="30"/>
  <c r="L28" i="30"/>
  <c r="N28" i="30" s="1"/>
  <c r="P28" i="30" s="1"/>
  <c r="I28" i="30"/>
  <c r="L27" i="30"/>
  <c r="N27" i="30" s="1"/>
  <c r="I27" i="30"/>
  <c r="L26" i="30"/>
  <c r="N26" i="30" s="1"/>
  <c r="P26" i="30" s="1"/>
  <c r="I26" i="30"/>
  <c r="L25" i="30"/>
  <c r="I25" i="30"/>
  <c r="P24" i="30"/>
  <c r="L24" i="30"/>
  <c r="N24" i="30" s="1"/>
  <c r="I24" i="30"/>
  <c r="L23" i="30"/>
  <c r="I23" i="30"/>
  <c r="L22" i="30"/>
  <c r="N22" i="30" s="1"/>
  <c r="P22" i="30" s="1"/>
  <c r="I22" i="30"/>
  <c r="L21" i="30"/>
  <c r="I21" i="30"/>
  <c r="L20" i="30"/>
  <c r="I20" i="30"/>
  <c r="L19" i="30"/>
  <c r="I19" i="30"/>
  <c r="L18" i="30"/>
  <c r="I18" i="30"/>
  <c r="L17" i="30"/>
  <c r="I17" i="30"/>
  <c r="L16" i="30"/>
  <c r="I16" i="30"/>
  <c r="L15" i="30"/>
  <c r="I15" i="30"/>
  <c r="N17" i="30" l="1"/>
  <c r="G17" i="30"/>
  <c r="J17" i="30" s="1"/>
  <c r="I58" i="30"/>
  <c r="N16" i="30"/>
  <c r="P16" i="30" s="1"/>
  <c r="G16" i="30"/>
  <c r="J16" i="30" s="1"/>
  <c r="P17" i="30"/>
  <c r="N20" i="30"/>
  <c r="P20" i="30" s="1"/>
  <c r="G20" i="30"/>
  <c r="J20" i="30" s="1"/>
  <c r="N23" i="30"/>
  <c r="P23" i="30" s="1"/>
  <c r="G23" i="30"/>
  <c r="J23" i="30" s="1"/>
  <c r="N19" i="30"/>
  <c r="P19" i="30" s="1"/>
  <c r="G19" i="30"/>
  <c r="J19" i="30" s="1"/>
  <c r="N21" i="30"/>
  <c r="G21" i="30"/>
  <c r="J21" i="30" s="1"/>
  <c r="P21" i="30"/>
  <c r="N15" i="30"/>
  <c r="P15" i="30" s="1"/>
  <c r="G15" i="30"/>
  <c r="L58" i="30"/>
  <c r="N25" i="30"/>
  <c r="P25" i="30" s="1"/>
  <c r="G25" i="30"/>
  <c r="J25" i="30" s="1"/>
  <c r="N18" i="30"/>
  <c r="P18" i="30" s="1"/>
  <c r="G18" i="30"/>
  <c r="J18" i="30" s="1"/>
  <c r="P27" i="30"/>
  <c r="P29" i="30"/>
  <c r="P31" i="30"/>
  <c r="P33" i="30"/>
  <c r="P35" i="30"/>
  <c r="P37" i="30"/>
  <c r="P39" i="30"/>
  <c r="P41" i="30"/>
  <c r="P43" i="30"/>
  <c r="P45" i="30"/>
  <c r="P47" i="30"/>
  <c r="P49" i="30"/>
  <c r="P51" i="30"/>
  <c r="P53" i="30"/>
  <c r="P55" i="30"/>
  <c r="P57" i="30"/>
  <c r="G22" i="30"/>
  <c r="J22" i="30" s="1"/>
  <c r="G24" i="30"/>
  <c r="J24" i="30" s="1"/>
  <c r="G26" i="30"/>
  <c r="J26" i="30" s="1"/>
  <c r="G28" i="30"/>
  <c r="J28" i="30" s="1"/>
  <c r="G30" i="30"/>
  <c r="J30" i="30" s="1"/>
  <c r="G32" i="30"/>
  <c r="J32" i="30" s="1"/>
  <c r="G34" i="30"/>
  <c r="J34" i="30" s="1"/>
  <c r="G36" i="30"/>
  <c r="J36" i="30" s="1"/>
  <c r="G38" i="30"/>
  <c r="J38" i="30" s="1"/>
  <c r="G40" i="30"/>
  <c r="J40" i="30" s="1"/>
  <c r="G42" i="30"/>
  <c r="J42" i="30" s="1"/>
  <c r="G44" i="30"/>
  <c r="J44" i="30" s="1"/>
  <c r="G46" i="30"/>
  <c r="J46" i="30" s="1"/>
  <c r="G48" i="30"/>
  <c r="J48" i="30" s="1"/>
  <c r="G50" i="30"/>
  <c r="J50" i="30" s="1"/>
  <c r="N50" i="30"/>
  <c r="P50" i="30" s="1"/>
  <c r="G52" i="30"/>
  <c r="J52" i="30" s="1"/>
  <c r="N52" i="30"/>
  <c r="P52" i="30" s="1"/>
  <c r="G54" i="30"/>
  <c r="J54" i="30" s="1"/>
  <c r="N54" i="30"/>
  <c r="P54" i="30" s="1"/>
  <c r="G56" i="30"/>
  <c r="J56" i="30" s="1"/>
  <c r="N56" i="30"/>
  <c r="P56" i="30" s="1"/>
  <c r="G27" i="30"/>
  <c r="J27" i="30" s="1"/>
  <c r="G29" i="30"/>
  <c r="J29" i="30" s="1"/>
  <c r="G31" i="30"/>
  <c r="J31" i="30" s="1"/>
  <c r="G33" i="30"/>
  <c r="J33" i="30" s="1"/>
  <c r="G35" i="30"/>
  <c r="J35" i="30" s="1"/>
  <c r="G37" i="30"/>
  <c r="J37" i="30" s="1"/>
  <c r="G39" i="30"/>
  <c r="J39" i="30" s="1"/>
  <c r="G41" i="30"/>
  <c r="J41" i="30" s="1"/>
  <c r="G43" i="30"/>
  <c r="J43" i="30" s="1"/>
  <c r="G45" i="30"/>
  <c r="J45" i="30" s="1"/>
  <c r="G47" i="30"/>
  <c r="J47" i="30" s="1"/>
  <c r="G49" i="30"/>
  <c r="J49" i="30" s="1"/>
  <c r="G51" i="30"/>
  <c r="J51" i="30" s="1"/>
  <c r="G53" i="30"/>
  <c r="J53" i="30" s="1"/>
  <c r="G55" i="30"/>
  <c r="J55" i="30" s="1"/>
  <c r="G57" i="30"/>
  <c r="J57" i="30" s="1"/>
  <c r="V34" i="30" l="1"/>
  <c r="N58" i="30"/>
  <c r="P58" i="30" s="1"/>
  <c r="G58" i="30"/>
  <c r="J15" i="30"/>
  <c r="J58" i="30" s="1"/>
  <c r="E10" i="26" l="1"/>
  <c r="B55" i="18"/>
  <c r="B54" i="18"/>
  <c r="Q8" i="27"/>
  <c r="Q11" i="27"/>
  <c r="Q14" i="27"/>
  <c r="Q17" i="27"/>
  <c r="Q22" i="27"/>
  <c r="Q5" i="27"/>
  <c r="B23" i="18"/>
  <c r="B22" i="18"/>
  <c r="G28" i="29"/>
  <c r="E126" i="28"/>
  <c r="P167" i="28"/>
  <c r="R167" i="28" s="1"/>
  <c r="M167" i="28"/>
  <c r="I167" i="28"/>
  <c r="G167" i="28"/>
  <c r="K167" i="28" s="1"/>
  <c r="M166" i="28"/>
  <c r="I166" i="28"/>
  <c r="M165" i="28"/>
  <c r="P165" i="28" s="1"/>
  <c r="I165" i="28"/>
  <c r="M164" i="28"/>
  <c r="I164" i="28"/>
  <c r="M163" i="28"/>
  <c r="I163" i="28"/>
  <c r="M162" i="28"/>
  <c r="I162" i="28"/>
  <c r="M158" i="28"/>
  <c r="P158" i="28" s="1"/>
  <c r="R158" i="28" s="1"/>
  <c r="I158" i="28"/>
  <c r="G158" i="28"/>
  <c r="K158" i="28" s="1"/>
  <c r="M157" i="28"/>
  <c r="I157" i="28"/>
  <c r="P156" i="28"/>
  <c r="R156" i="28" s="1"/>
  <c r="M156" i="28"/>
  <c r="I156" i="28"/>
  <c r="G156" i="28"/>
  <c r="K156" i="28" s="1"/>
  <c r="M154" i="28"/>
  <c r="G154" i="28" s="1"/>
  <c r="K154" i="28" s="1"/>
  <c r="I154" i="28"/>
  <c r="I153" i="28"/>
  <c r="G153" i="28"/>
  <c r="K153" i="28" s="1"/>
  <c r="K26" i="27" s="1"/>
  <c r="D14" i="18" s="1"/>
  <c r="M153" i="28"/>
  <c r="P153" i="28" s="1"/>
  <c r="R153" i="28" s="1"/>
  <c r="M152" i="28"/>
  <c r="G152" i="28" s="1"/>
  <c r="K152" i="28" s="1"/>
  <c r="I152" i="28"/>
  <c r="M151" i="28"/>
  <c r="I151" i="28"/>
  <c r="R150" i="28"/>
  <c r="P150" i="28"/>
  <c r="M150" i="28"/>
  <c r="I150" i="28"/>
  <c r="G150" i="28"/>
  <c r="K150" i="28" s="1"/>
  <c r="M149" i="28"/>
  <c r="I149" i="28"/>
  <c r="M140" i="28"/>
  <c r="I140" i="28"/>
  <c r="M139" i="28"/>
  <c r="I139" i="28"/>
  <c r="M138" i="28"/>
  <c r="I138" i="28"/>
  <c r="M137" i="28"/>
  <c r="I137" i="28"/>
  <c r="M136" i="28"/>
  <c r="G136" i="28" s="1"/>
  <c r="K136" i="28" s="1"/>
  <c r="I136" i="28"/>
  <c r="M135" i="28"/>
  <c r="I135" i="28"/>
  <c r="M131" i="28"/>
  <c r="I131" i="28"/>
  <c r="M130" i="28"/>
  <c r="I130" i="28"/>
  <c r="M129" i="28"/>
  <c r="I129" i="28"/>
  <c r="M127" i="28"/>
  <c r="I127" i="28"/>
  <c r="M126" i="28"/>
  <c r="P125" i="28"/>
  <c r="M125" i="28"/>
  <c r="I125" i="28"/>
  <c r="G125" i="28"/>
  <c r="K125" i="28" s="1"/>
  <c r="P124" i="28"/>
  <c r="R124" i="28" s="1"/>
  <c r="M124" i="28"/>
  <c r="I124" i="28"/>
  <c r="K124" i="28" s="1"/>
  <c r="G124" i="28"/>
  <c r="M123" i="28"/>
  <c r="P123" i="28" s="1"/>
  <c r="I123" i="28"/>
  <c r="R122" i="28"/>
  <c r="P122" i="28"/>
  <c r="M122" i="28"/>
  <c r="I122" i="28"/>
  <c r="G122" i="28"/>
  <c r="M112" i="28"/>
  <c r="I112" i="28"/>
  <c r="M111" i="28"/>
  <c r="G111" i="28" s="1"/>
  <c r="K111" i="28" s="1"/>
  <c r="I111" i="28"/>
  <c r="M110" i="28"/>
  <c r="I110" i="28"/>
  <c r="P109" i="28"/>
  <c r="R109" i="28" s="1"/>
  <c r="M109" i="28"/>
  <c r="I109" i="28"/>
  <c r="G109" i="28"/>
  <c r="K109" i="28" s="1"/>
  <c r="P108" i="28"/>
  <c r="M108" i="28"/>
  <c r="I108" i="28"/>
  <c r="G108" i="28"/>
  <c r="K108" i="28" s="1"/>
  <c r="P107" i="28"/>
  <c r="R107" i="28" s="1"/>
  <c r="M107" i="28"/>
  <c r="I107" i="28"/>
  <c r="K107" i="28" s="1"/>
  <c r="G107" i="28"/>
  <c r="M103" i="28"/>
  <c r="I103" i="28"/>
  <c r="R102" i="28"/>
  <c r="P102" i="28"/>
  <c r="M102" i="28"/>
  <c r="I102" i="28"/>
  <c r="G102" i="28"/>
  <c r="M101" i="28"/>
  <c r="I101" i="28"/>
  <c r="M99" i="28"/>
  <c r="G99" i="28" s="1"/>
  <c r="K99" i="28" s="1"/>
  <c r="I99" i="28"/>
  <c r="E98" i="28"/>
  <c r="I98" i="28" s="1"/>
  <c r="M97" i="28"/>
  <c r="I97" i="28"/>
  <c r="M96" i="28"/>
  <c r="I96" i="28"/>
  <c r="M95" i="28"/>
  <c r="I95" i="28"/>
  <c r="M94" i="28"/>
  <c r="G94" i="28" s="1"/>
  <c r="K94" i="28" s="1"/>
  <c r="I94" i="28"/>
  <c r="M83" i="28"/>
  <c r="I83" i="28"/>
  <c r="M82" i="28"/>
  <c r="P82" i="28" s="1"/>
  <c r="R82" i="28" s="1"/>
  <c r="I82" i="28"/>
  <c r="M81" i="28"/>
  <c r="I81" i="28"/>
  <c r="M80" i="28"/>
  <c r="I80" i="28"/>
  <c r="M79" i="28"/>
  <c r="I79" i="28"/>
  <c r="M78" i="28"/>
  <c r="I78" i="28"/>
  <c r="M74" i="28"/>
  <c r="I74" i="28"/>
  <c r="P73" i="28"/>
  <c r="R73" i="28" s="1"/>
  <c r="M73" i="28"/>
  <c r="I73" i="28"/>
  <c r="G73" i="28"/>
  <c r="K73" i="28" s="1"/>
  <c r="M72" i="28"/>
  <c r="I72" i="28"/>
  <c r="M70" i="28"/>
  <c r="P70" i="28" s="1"/>
  <c r="R70" i="28" s="1"/>
  <c r="I70" i="28"/>
  <c r="E69" i="28"/>
  <c r="M69" i="28" s="1"/>
  <c r="P68" i="28"/>
  <c r="R68" i="28" s="1"/>
  <c r="M68" i="28"/>
  <c r="I68" i="28"/>
  <c r="G68" i="28"/>
  <c r="K68" i="28" s="1"/>
  <c r="P67" i="28"/>
  <c r="M67" i="28"/>
  <c r="I67" i="28"/>
  <c r="G67" i="28"/>
  <c r="K67" i="28" s="1"/>
  <c r="R66" i="28"/>
  <c r="P66" i="28"/>
  <c r="M66" i="28"/>
  <c r="I66" i="28"/>
  <c r="K66" i="28" s="1"/>
  <c r="G66" i="28"/>
  <c r="M65" i="28"/>
  <c r="I65" i="28"/>
  <c r="R34" i="28"/>
  <c r="P34" i="28"/>
  <c r="M34" i="28"/>
  <c r="I34" i="28"/>
  <c r="G34" i="28"/>
  <c r="M33" i="28"/>
  <c r="I33" i="28"/>
  <c r="M32" i="28"/>
  <c r="G32" i="28" s="1"/>
  <c r="K32" i="28" s="1"/>
  <c r="I32" i="28"/>
  <c r="M31" i="28"/>
  <c r="G31" i="28" s="1"/>
  <c r="K31" i="28" s="1"/>
  <c r="I31" i="28"/>
  <c r="M30" i="28"/>
  <c r="G30" i="28" s="1"/>
  <c r="K30" i="28" s="1"/>
  <c r="I30" i="28"/>
  <c r="M29" i="28"/>
  <c r="P29" i="28" s="1"/>
  <c r="I29" i="28"/>
  <c r="M25" i="28"/>
  <c r="G25" i="28" s="1"/>
  <c r="K25" i="28" s="1"/>
  <c r="I25" i="28"/>
  <c r="M24" i="28"/>
  <c r="G24" i="28" s="1"/>
  <c r="K24" i="28" s="1"/>
  <c r="I24" i="28"/>
  <c r="M23" i="28"/>
  <c r="I23" i="28"/>
  <c r="M21" i="28"/>
  <c r="P21" i="28" s="1"/>
  <c r="I21" i="28"/>
  <c r="I20" i="28"/>
  <c r="E20" i="28"/>
  <c r="M20" i="28" s="1"/>
  <c r="G20" i="28" s="1"/>
  <c r="M19" i="28"/>
  <c r="I19" i="28"/>
  <c r="E19" i="28"/>
  <c r="M18" i="28"/>
  <c r="I18" i="28"/>
  <c r="R17" i="28"/>
  <c r="P17" i="28"/>
  <c r="M17" i="28"/>
  <c r="I17" i="28"/>
  <c r="G17" i="28"/>
  <c r="M16" i="28"/>
  <c r="P16" i="28" s="1"/>
  <c r="I16" i="28"/>
  <c r="N20" i="27"/>
  <c r="N5" i="27"/>
  <c r="O5" i="27" s="1"/>
  <c r="M26" i="27"/>
  <c r="M24" i="27"/>
  <c r="N24" i="27"/>
  <c r="M22" i="27"/>
  <c r="M17" i="27"/>
  <c r="M14" i="27"/>
  <c r="M11" i="27"/>
  <c r="M8" i="27"/>
  <c r="M5" i="27"/>
  <c r="J39" i="25"/>
  <c r="H38" i="25"/>
  <c r="N37" i="25"/>
  <c r="J35" i="25"/>
  <c r="H34" i="25"/>
  <c r="N33" i="25"/>
  <c r="J31" i="25"/>
  <c r="H30" i="25"/>
  <c r="N29" i="25"/>
  <c r="J27" i="25"/>
  <c r="H26" i="25"/>
  <c r="N25" i="25"/>
  <c r="J23" i="25"/>
  <c r="H22" i="25"/>
  <c r="J21" i="25"/>
  <c r="N21" i="25"/>
  <c r="H11" i="25"/>
  <c r="C11" i="25"/>
  <c r="D10" i="25"/>
  <c r="C10" i="25"/>
  <c r="R131" i="28" l="1"/>
  <c r="K17" i="28"/>
  <c r="P23" i="28"/>
  <c r="R23" i="28" s="1"/>
  <c r="P25" i="28"/>
  <c r="R25" i="28" s="1"/>
  <c r="P30" i="28"/>
  <c r="R30" i="28" s="1"/>
  <c r="P32" i="28"/>
  <c r="R32" i="28" s="1"/>
  <c r="P99" i="28"/>
  <c r="R99" i="28" s="1"/>
  <c r="P111" i="28"/>
  <c r="R111" i="28" s="1"/>
  <c r="P136" i="28"/>
  <c r="R136" i="28" s="1"/>
  <c r="K20" i="28"/>
  <c r="G23" i="28"/>
  <c r="G29" i="28"/>
  <c r="K29" i="28" s="1"/>
  <c r="I69" i="28"/>
  <c r="G82" i="28"/>
  <c r="K82" i="28" s="1"/>
  <c r="P94" i="28"/>
  <c r="R94" i="28" s="1"/>
  <c r="P131" i="28"/>
  <c r="P152" i="28"/>
  <c r="R152" i="28" s="1"/>
  <c r="P163" i="28"/>
  <c r="R163" i="28" s="1"/>
  <c r="G165" i="28"/>
  <c r="K165" i="28" s="1"/>
  <c r="R165" i="28"/>
  <c r="B59" i="18"/>
  <c r="E59" i="18" s="1"/>
  <c r="K34" i="28"/>
  <c r="K102" i="28"/>
  <c r="K122" i="28"/>
  <c r="K23" i="28"/>
  <c r="G70" i="28"/>
  <c r="K70" i="28" s="1"/>
  <c r="G131" i="28"/>
  <c r="K131" i="28" s="1"/>
  <c r="G163" i="28"/>
  <c r="K163" i="28" s="1"/>
  <c r="B29" i="29"/>
  <c r="B14" i="18"/>
  <c r="B56" i="18"/>
  <c r="B63" i="18" s="1"/>
  <c r="B58" i="18"/>
  <c r="G30" i="29"/>
  <c r="H33" i="25"/>
  <c r="J22" i="25"/>
  <c r="H25" i="25"/>
  <c r="J37" i="25"/>
  <c r="L37" i="25" s="1"/>
  <c r="J30" i="25"/>
  <c r="J38" i="25"/>
  <c r="J33" i="25"/>
  <c r="L33" i="25" s="1"/>
  <c r="L22" i="25"/>
  <c r="J26" i="25"/>
  <c r="H29" i="25"/>
  <c r="L38" i="25"/>
  <c r="L26" i="25"/>
  <c r="J29" i="25"/>
  <c r="H21" i="25"/>
  <c r="L21" i="25" s="1"/>
  <c r="J25" i="25"/>
  <c r="L30" i="25"/>
  <c r="J34" i="25"/>
  <c r="L34" i="25" s="1"/>
  <c r="H37" i="25"/>
  <c r="R137" i="28"/>
  <c r="P69" i="28"/>
  <c r="G69" i="28"/>
  <c r="R69" i="28"/>
  <c r="G18" i="28"/>
  <c r="K18" i="28" s="1"/>
  <c r="P78" i="28"/>
  <c r="R78" i="28" s="1"/>
  <c r="P79" i="28"/>
  <c r="G79" i="28"/>
  <c r="K79" i="28" s="1"/>
  <c r="P96" i="28"/>
  <c r="R96" i="28" s="1"/>
  <c r="P97" i="28"/>
  <c r="R97" i="28" s="1"/>
  <c r="G97" i="28"/>
  <c r="K97" i="28" s="1"/>
  <c r="G103" i="28"/>
  <c r="K103" i="28" s="1"/>
  <c r="P103" i="28"/>
  <c r="R103" i="28" s="1"/>
  <c r="G123" i="28"/>
  <c r="K123" i="28" s="1"/>
  <c r="P126" i="28"/>
  <c r="R126" i="28" s="1"/>
  <c r="P127" i="28"/>
  <c r="G127" i="28"/>
  <c r="K127" i="28" s="1"/>
  <c r="P138" i="28"/>
  <c r="R138" i="28" s="1"/>
  <c r="P139" i="28"/>
  <c r="R139" i="28" s="1"/>
  <c r="G139" i="28"/>
  <c r="K139" i="28" s="1"/>
  <c r="P20" i="28"/>
  <c r="R20" i="28" s="1"/>
  <c r="P95" i="28"/>
  <c r="R95" i="28" s="1"/>
  <c r="G95" i="28"/>
  <c r="K95" i="28" s="1"/>
  <c r="R123" i="28"/>
  <c r="G65" i="28"/>
  <c r="K65" i="28" s="1"/>
  <c r="P65" i="28"/>
  <c r="R65" i="28" s="1"/>
  <c r="G16" i="28"/>
  <c r="K16" i="28" s="1"/>
  <c r="P19" i="28"/>
  <c r="R19" i="28" s="1"/>
  <c r="G21" i="28"/>
  <c r="K21" i="28" s="1"/>
  <c r="G33" i="28"/>
  <c r="K33" i="28" s="1"/>
  <c r="P33" i="28"/>
  <c r="R33" i="28" s="1"/>
  <c r="G78" i="28"/>
  <c r="K78" i="28" s="1"/>
  <c r="R79" i="28"/>
  <c r="P80" i="28"/>
  <c r="R80" i="28" s="1"/>
  <c r="P81" i="28"/>
  <c r="R81" i="28" s="1"/>
  <c r="G81" i="28"/>
  <c r="K81" i="28" s="1"/>
  <c r="G96" i="28"/>
  <c r="K96" i="28" s="1"/>
  <c r="M98" i="28"/>
  <c r="G101" i="28"/>
  <c r="K101" i="28" s="1"/>
  <c r="P101" i="28"/>
  <c r="R101" i="28" s="1"/>
  <c r="G112" i="28"/>
  <c r="K112" i="28" s="1"/>
  <c r="P112" i="28"/>
  <c r="R112" i="28" s="1"/>
  <c r="G126" i="28"/>
  <c r="K126" i="28" s="1"/>
  <c r="R127" i="28"/>
  <c r="P129" i="28"/>
  <c r="R129" i="28" s="1"/>
  <c r="P130" i="28"/>
  <c r="R130" i="28" s="1"/>
  <c r="G130" i="28"/>
  <c r="K130" i="28" s="1"/>
  <c r="G138" i="28"/>
  <c r="K138" i="28" s="1"/>
  <c r="P140" i="28"/>
  <c r="R140" i="28" s="1"/>
  <c r="P149" i="28"/>
  <c r="R149" i="28" s="1"/>
  <c r="G149" i="28"/>
  <c r="K149" i="28" s="1"/>
  <c r="P74" i="28"/>
  <c r="R74" i="28" s="1"/>
  <c r="G74" i="28"/>
  <c r="K74" i="28" s="1"/>
  <c r="P137" i="28"/>
  <c r="G137" i="28"/>
  <c r="K137" i="28" s="1"/>
  <c r="R16" i="28"/>
  <c r="P18" i="28"/>
  <c r="R18" i="28" s="1"/>
  <c r="R21" i="28"/>
  <c r="P24" i="28"/>
  <c r="R24" i="28" s="1"/>
  <c r="G19" i="28"/>
  <c r="K19" i="28" s="1"/>
  <c r="R29" i="28"/>
  <c r="P31" i="28"/>
  <c r="R31" i="28" s="1"/>
  <c r="R67" i="28"/>
  <c r="P72" i="28"/>
  <c r="R72" i="28" s="1"/>
  <c r="G72" i="28"/>
  <c r="K72" i="28" s="1"/>
  <c r="G80" i="28"/>
  <c r="K80" i="28" s="1"/>
  <c r="P83" i="28"/>
  <c r="R83" i="28" s="1"/>
  <c r="G83" i="28"/>
  <c r="K83" i="28" s="1"/>
  <c r="R108" i="28"/>
  <c r="G110" i="28"/>
  <c r="K110" i="28" s="1"/>
  <c r="P110" i="28"/>
  <c r="R110" i="28" s="1"/>
  <c r="R125" i="28"/>
  <c r="I126" i="28"/>
  <c r="G129" i="28"/>
  <c r="K129" i="28" s="1"/>
  <c r="P135" i="28"/>
  <c r="R135" i="28" s="1"/>
  <c r="G135" i="28"/>
  <c r="K135" i="28" s="1"/>
  <c r="G140" i="28"/>
  <c r="K140" i="28" s="1"/>
  <c r="P151" i="28"/>
  <c r="R151" i="28" s="1"/>
  <c r="G151" i="28"/>
  <c r="K151" i="28" s="1"/>
  <c r="R154" i="28"/>
  <c r="P154" i="28"/>
  <c r="P157" i="28"/>
  <c r="R157" i="28" s="1"/>
  <c r="G157" i="28"/>
  <c r="K157" i="28" s="1"/>
  <c r="P162" i="28"/>
  <c r="R162" i="28" s="1"/>
  <c r="G162" i="28"/>
  <c r="K162" i="28" s="1"/>
  <c r="P164" i="28"/>
  <c r="R164" i="28" s="1"/>
  <c r="G164" i="28"/>
  <c r="K164" i="28" s="1"/>
  <c r="P166" i="28"/>
  <c r="R166" i="28" s="1"/>
  <c r="G166" i="28"/>
  <c r="K166" i="28" s="1"/>
  <c r="N8" i="27"/>
  <c r="O8" i="27" s="1"/>
  <c r="N14" i="27"/>
  <c r="O14" i="27" s="1"/>
  <c r="N17" i="27"/>
  <c r="N11" i="27"/>
  <c r="O11" i="27" s="1"/>
  <c r="N22" i="27"/>
  <c r="R25" i="25"/>
  <c r="T25" i="25" s="1"/>
  <c r="R21" i="25"/>
  <c r="T21" i="25" s="1"/>
  <c r="R37" i="25"/>
  <c r="T37" i="25" s="1"/>
  <c r="R29" i="25"/>
  <c r="T29" i="25" s="1"/>
  <c r="R33" i="25"/>
  <c r="T33" i="25" s="1"/>
  <c r="N20" i="25"/>
  <c r="N28" i="25"/>
  <c r="N36" i="25"/>
  <c r="H20" i="25"/>
  <c r="N23" i="25"/>
  <c r="H24" i="25"/>
  <c r="L24" i="25" s="1"/>
  <c r="H28" i="25"/>
  <c r="H32" i="25"/>
  <c r="J20" i="25"/>
  <c r="N22" i="25"/>
  <c r="H23" i="25"/>
  <c r="L23" i="25" s="1"/>
  <c r="J24" i="25"/>
  <c r="N26" i="25"/>
  <c r="H27" i="25"/>
  <c r="L27" i="25" s="1"/>
  <c r="N66" i="11" s="1"/>
  <c r="J28" i="25"/>
  <c r="N30" i="25"/>
  <c r="H31" i="25"/>
  <c r="L31" i="25" s="1"/>
  <c r="J32" i="25"/>
  <c r="L32" i="25" s="1"/>
  <c r="N34" i="25"/>
  <c r="H35" i="25"/>
  <c r="L35" i="25" s="1"/>
  <c r="J36" i="25"/>
  <c r="N38" i="25"/>
  <c r="H39" i="25"/>
  <c r="L39" i="25" s="1"/>
  <c r="N24" i="25"/>
  <c r="N32" i="25"/>
  <c r="N27" i="25"/>
  <c r="N31" i="25"/>
  <c r="N35" i="25"/>
  <c r="H36" i="25"/>
  <c r="N39" i="25"/>
  <c r="L25" i="25" l="1"/>
  <c r="K69" i="28"/>
  <c r="L36" i="25"/>
  <c r="O17" i="27"/>
  <c r="B9" i="18"/>
  <c r="D9" i="18" s="1"/>
  <c r="B60" i="18"/>
  <c r="B71" i="18"/>
  <c r="L28" i="25"/>
  <c r="L29" i="25"/>
  <c r="L20" i="25"/>
  <c r="P98" i="28"/>
  <c r="R98" i="28" s="1"/>
  <c r="G98" i="28"/>
  <c r="K98" i="28" s="1"/>
  <c r="R35" i="25"/>
  <c r="T35" i="25" s="1"/>
  <c r="R32" i="25"/>
  <c r="T32" i="25" s="1"/>
  <c r="R20" i="25"/>
  <c r="T20" i="25" s="1"/>
  <c r="R31" i="25"/>
  <c r="T31" i="25" s="1"/>
  <c r="H40" i="25"/>
  <c r="J40" i="25"/>
  <c r="R39" i="25"/>
  <c r="T39" i="25" s="1"/>
  <c r="R27" i="25"/>
  <c r="T27" i="25" s="1"/>
  <c r="R26" i="25"/>
  <c r="T26" i="25" s="1"/>
  <c r="R23" i="25"/>
  <c r="T23" i="25" s="1"/>
  <c r="R36" i="25"/>
  <c r="T36" i="25" s="1"/>
  <c r="R24" i="25"/>
  <c r="T24" i="25" s="1"/>
  <c r="R22" i="25"/>
  <c r="T22" i="25" s="1"/>
  <c r="R38" i="25"/>
  <c r="T38" i="25" s="1"/>
  <c r="R34" i="25"/>
  <c r="T34" i="25" s="1"/>
  <c r="R30" i="25"/>
  <c r="T30" i="25" s="1"/>
  <c r="R28" i="25"/>
  <c r="T28" i="25" s="1"/>
  <c r="L40" i="25" l="1"/>
  <c r="L26" i="27" l="1"/>
  <c r="N67" i="11"/>
  <c r="B10" i="18" s="1"/>
  <c r="B50" i="18"/>
  <c r="N26" i="27" l="1"/>
  <c r="B8" i="18" s="1"/>
  <c r="R26" i="27"/>
  <c r="D8" i="18" l="1"/>
  <c r="B11" i="18"/>
  <c r="B75" i="18"/>
  <c r="B76" i="18" s="1"/>
  <c r="D15" i="18"/>
  <c r="B15" i="18"/>
  <c r="B25" i="18" l="1"/>
  <c r="B18" i="18"/>
  <c r="E9" i="18"/>
  <c r="D11" i="18"/>
  <c r="B87" i="11"/>
  <c r="E11" i="18" l="1"/>
  <c r="D18" i="18"/>
  <c r="D25" i="18"/>
  <c r="B28" i="18"/>
  <c r="B29" i="18" s="1"/>
  <c r="B33" i="18"/>
  <c r="B35" i="18"/>
  <c r="D28" i="18" l="1"/>
  <c r="D29" i="18" s="1"/>
  <c r="E29" i="18" s="1"/>
  <c r="E25" i="18"/>
  <c r="B80" i="18"/>
  <c r="B79" i="18"/>
  <c r="B34" i="18"/>
  <c r="B37" i="18" s="1"/>
  <c r="B39" i="18" s="1"/>
  <c r="B41" i="18" s="1"/>
  <c r="B42" i="18" s="1"/>
  <c r="B44" i="18" s="1"/>
  <c r="D37" i="18" l="1"/>
  <c r="D39" i="18" s="1"/>
  <c r="E39" i="18" l="1"/>
  <c r="B43" i="18"/>
  <c r="B45" i="18"/>
  <c r="B66" i="18" s="1"/>
  <c r="D45" i="18"/>
  <c r="B46" i="18" l="1"/>
  <c r="B73" i="18"/>
  <c r="E45" i="18"/>
  <c r="F43" i="14"/>
  <c r="E43" i="14"/>
  <c r="D43" i="14"/>
  <c r="C43" i="14"/>
  <c r="B43" i="14"/>
  <c r="F18" i="14"/>
  <c r="F45" i="14" s="1"/>
  <c r="E18" i="14"/>
  <c r="D18" i="14"/>
  <c r="C18" i="14"/>
  <c r="B18" i="14"/>
  <c r="B45" i="14" s="1"/>
  <c r="B47" i="14" s="1"/>
  <c r="C7" i="14" s="1"/>
  <c r="C45" i="14" l="1"/>
  <c r="C47" i="14" s="1"/>
  <c r="D7" i="14" s="1"/>
  <c r="D45" i="14"/>
  <c r="E45" i="14"/>
  <c r="D47" i="14" l="1"/>
  <c r="E7" i="14" s="1"/>
  <c r="E47" i="14" s="1"/>
  <c r="F7" i="14" s="1"/>
  <c r="F47" i="14" s="1"/>
  <c r="K25" i="9"/>
  <c r="J25" i="9"/>
  <c r="I25" i="9"/>
  <c r="H25" i="9"/>
  <c r="G25" i="9"/>
  <c r="F25" i="9"/>
  <c r="D25" i="9"/>
  <c r="C25" i="9"/>
  <c r="K24" i="9"/>
  <c r="J24" i="9"/>
  <c r="I24" i="9"/>
  <c r="H24" i="9"/>
  <c r="G24" i="9"/>
  <c r="F24" i="9"/>
  <c r="D24" i="9"/>
  <c r="C24" i="9"/>
  <c r="K23" i="9"/>
  <c r="J23" i="9"/>
  <c r="I23" i="9"/>
  <c r="H23" i="9"/>
  <c r="G23" i="9"/>
  <c r="F23" i="9"/>
  <c r="D23" i="9"/>
  <c r="C23" i="9"/>
  <c r="K19" i="9"/>
  <c r="J19" i="9"/>
  <c r="I19" i="9"/>
  <c r="H19" i="9"/>
  <c r="G19" i="9"/>
  <c r="F19" i="9"/>
  <c r="D19" i="9"/>
  <c r="C19" i="9"/>
  <c r="K18" i="9"/>
  <c r="J18" i="9"/>
  <c r="I18" i="9"/>
  <c r="H18" i="9"/>
  <c r="G18" i="9"/>
  <c r="F18" i="9"/>
  <c r="D18" i="9"/>
  <c r="C18" i="9"/>
  <c r="K17" i="9"/>
  <c r="J17" i="9"/>
  <c r="I17" i="9"/>
  <c r="H17" i="9"/>
  <c r="G17" i="9"/>
  <c r="F17" i="9"/>
  <c r="D17" i="9"/>
  <c r="C17" i="9"/>
  <c r="K13" i="9"/>
  <c r="J13" i="9"/>
  <c r="I13" i="9"/>
  <c r="H13" i="9"/>
  <c r="G13" i="9"/>
  <c r="F13" i="9"/>
  <c r="D13" i="9"/>
  <c r="C13" i="9"/>
  <c r="K12" i="9"/>
  <c r="J12" i="9"/>
  <c r="I12" i="9"/>
  <c r="H12" i="9"/>
  <c r="G12" i="9"/>
  <c r="F12" i="9"/>
  <c r="D12" i="9"/>
  <c r="C12" i="9"/>
  <c r="K11" i="9"/>
  <c r="J11" i="9"/>
  <c r="I11" i="9"/>
  <c r="H11" i="9"/>
  <c r="G11" i="9"/>
  <c r="F11" i="9"/>
  <c r="D11" i="9"/>
  <c r="C11" i="9"/>
  <c r="J7" i="9"/>
  <c r="I7" i="9"/>
  <c r="J6" i="9"/>
  <c r="I6" i="9"/>
  <c r="J5" i="9"/>
  <c r="I5" i="9"/>
  <c r="I29" i="9" s="1"/>
  <c r="K29" i="9"/>
  <c r="K7" i="9"/>
  <c r="H7" i="9"/>
  <c r="G7" i="9"/>
  <c r="F7" i="9"/>
  <c r="D7" i="9"/>
  <c r="C7" i="9"/>
  <c r="K6" i="9"/>
  <c r="H6" i="9"/>
  <c r="H29" i="9" s="1"/>
  <c r="G6" i="9"/>
  <c r="F6" i="9"/>
  <c r="D6" i="9"/>
  <c r="C6" i="9"/>
  <c r="K5" i="9"/>
  <c r="H5" i="9"/>
  <c r="G5" i="9"/>
  <c r="G29" i="9" s="1"/>
  <c r="F5" i="9"/>
  <c r="F29" i="9" s="1"/>
  <c r="D5" i="9"/>
  <c r="C5" i="9"/>
  <c r="J29" i="9" l="1"/>
  <c r="B91" i="11"/>
  <c r="C29" i="9"/>
  <c r="D29" i="9"/>
  <c r="G7" i="3" l="1"/>
  <c r="F7" i="3"/>
  <c r="E7" i="3"/>
  <c r="D7" i="3"/>
  <c r="C7" i="3"/>
  <c r="B7" i="3"/>
  <c r="G6" i="3"/>
  <c r="F6" i="3"/>
  <c r="E6" i="3"/>
  <c r="D6" i="3"/>
  <c r="C6" i="3"/>
  <c r="B6" i="3"/>
  <c r="G5" i="3"/>
  <c r="F5" i="3"/>
  <c r="E5" i="3"/>
  <c r="D5" i="3"/>
  <c r="C5" i="3"/>
  <c r="B5" i="3"/>
  <c r="B11" i="3" l="1"/>
  <c r="G11" i="3"/>
  <c r="F11" i="3"/>
  <c r="C11" i="3"/>
  <c r="D11" i="3"/>
  <c r="E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00000000-0006-0000-0200-000001000000}">
      <text>
        <r>
          <rPr>
            <b/>
            <sz val="9"/>
            <color indexed="81"/>
            <rFont val="Tahoma"/>
            <family val="2"/>
          </rPr>
          <t>Author:</t>
        </r>
        <r>
          <rPr>
            <sz val="9"/>
            <color indexed="81"/>
            <rFont val="Tahoma"/>
            <family val="2"/>
          </rPr>
          <t xml:space="preserve">
Underspends showing as negative, overspends showing as positive.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400-000001000000}">
      <text>
        <r>
          <rPr>
            <b/>
            <sz val="9"/>
            <color indexed="81"/>
            <rFont val="Tahoma"/>
            <family val="2"/>
          </rPr>
          <t>Author:</t>
        </r>
        <r>
          <rPr>
            <sz val="9"/>
            <color indexed="81"/>
            <rFont val="Tahoma"/>
            <family val="2"/>
          </rPr>
          <t xml:space="preserve">
Underspends showing as negative, overspends showing as positive.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1BC356F3-5F34-44A6-AD13-9B93472EB446}">
      <text>
        <r>
          <rPr>
            <b/>
            <sz val="9"/>
            <color indexed="81"/>
            <rFont val="Tahoma"/>
            <family val="2"/>
          </rPr>
          <t>Author:</t>
        </r>
        <r>
          <rPr>
            <sz val="9"/>
            <color indexed="81"/>
            <rFont val="Tahoma"/>
            <family val="2"/>
          </rPr>
          <t xml:space="preserve">
Increased from 6:1</t>
        </r>
      </text>
    </comment>
    <comment ref="C7" authorId="0" shapeId="0" xr:uid="{CC3B026B-41C5-45B9-BA14-176D40621F72}">
      <text>
        <r>
          <rPr>
            <b/>
            <sz val="9"/>
            <color indexed="81"/>
            <rFont val="Tahoma"/>
            <family val="2"/>
          </rPr>
          <t>Author:</t>
        </r>
        <r>
          <rPr>
            <sz val="9"/>
            <color indexed="81"/>
            <rFont val="Tahoma"/>
            <family val="2"/>
          </rPr>
          <t xml:space="preserve">
Reduced from 2.5:1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3" authorId="0" shapeId="0" xr:uid="{4EB46685-4A76-4011-B1A1-FC72F8C953F2}">
      <text>
        <r>
          <rPr>
            <b/>
            <sz val="8"/>
            <color indexed="81"/>
            <rFont val="Tahoma"/>
            <family val="2"/>
          </rPr>
          <t>Author:</t>
        </r>
        <r>
          <rPr>
            <sz val="8"/>
            <color indexed="81"/>
            <rFont val="Tahoma"/>
            <family val="2"/>
          </rPr>
          <t xml:space="preserve">
Assumes M5 + £1100 TLR</t>
        </r>
      </text>
    </comment>
    <comment ref="D3" authorId="0" shapeId="0" xr:uid="{E5B93CB7-CADE-46B9-B343-97B60A26E163}">
      <text>
        <r>
          <rPr>
            <b/>
            <sz val="8"/>
            <color indexed="81"/>
            <rFont val="Tahoma"/>
            <family val="2"/>
          </rPr>
          <t>Author:</t>
        </r>
        <r>
          <rPr>
            <sz val="8"/>
            <color indexed="81"/>
            <rFont val="Tahoma"/>
            <family val="2"/>
          </rPr>
          <t xml:space="preserve">
Assumes SCP12</t>
        </r>
      </text>
    </comment>
    <comment ref="E3" authorId="0" shapeId="0" xr:uid="{E5AC670E-F427-4A84-AA8B-B9BF02DFE6DF}">
      <text>
        <r>
          <rPr>
            <b/>
            <sz val="8"/>
            <color indexed="81"/>
            <rFont val="Tahoma"/>
            <family val="2"/>
          </rPr>
          <t>Author:</t>
        </r>
        <r>
          <rPr>
            <sz val="8"/>
            <color indexed="81"/>
            <rFont val="Tahoma"/>
            <family val="2"/>
          </rPr>
          <t xml:space="preserve">
Assumes SCP 5 for 1h15 per day</t>
        </r>
      </text>
    </comment>
    <comment ref="I3" authorId="0" shapeId="0" xr:uid="{73AC77B0-8318-4542-B2EB-B11F4AF2687A}">
      <text>
        <r>
          <rPr>
            <b/>
            <sz val="8"/>
            <color indexed="81"/>
            <rFont val="Tahoma"/>
            <family val="2"/>
          </rPr>
          <t>Author:</t>
        </r>
        <r>
          <rPr>
            <sz val="8"/>
            <color indexed="81"/>
            <rFont val="Tahoma"/>
            <family val="2"/>
          </rPr>
          <t xml:space="preserve">
Assumes M6</t>
        </r>
      </text>
    </comment>
    <comment ref="J3" authorId="0" shapeId="0" xr:uid="{6A5C9FB6-20C9-4C8D-AB1A-A2E62109B61D}">
      <text>
        <r>
          <rPr>
            <b/>
            <sz val="8"/>
            <color indexed="81"/>
            <rFont val="Tahoma"/>
            <family val="2"/>
          </rPr>
          <t>Author:</t>
        </r>
        <r>
          <rPr>
            <sz val="8"/>
            <color indexed="81"/>
            <rFont val="Tahoma"/>
            <family val="2"/>
          </rPr>
          <t xml:space="preserve">
Assumes SCP 12</t>
        </r>
      </text>
    </comment>
    <comment ref="K3" authorId="0" shapeId="0" xr:uid="{34E950B9-022F-468C-9741-4AC07BB0B01C}">
      <text>
        <r>
          <rPr>
            <b/>
            <sz val="8"/>
            <color indexed="81"/>
            <rFont val="Tahoma"/>
            <family val="2"/>
          </rPr>
          <t>Author:</t>
        </r>
        <r>
          <rPr>
            <sz val="8"/>
            <color indexed="81"/>
            <rFont val="Tahoma"/>
            <family val="2"/>
          </rPr>
          <t xml:space="preserve">
Assumes SCP 5 for 1h15 per day</t>
        </r>
      </text>
    </comment>
    <comment ref="B5" authorId="0" shapeId="0" xr:uid="{D4EAFBDC-B257-4673-9129-3B0E3DA2BEAE}">
      <text>
        <r>
          <rPr>
            <b/>
            <sz val="9"/>
            <color indexed="81"/>
            <rFont val="Tahoma"/>
            <family val="2"/>
          </rPr>
          <t>Author:</t>
        </r>
        <r>
          <rPr>
            <sz val="9"/>
            <color indexed="81"/>
            <rFont val="Tahoma"/>
            <family val="2"/>
          </rPr>
          <t xml:space="preserve">
Reduced from 2.5:1</t>
        </r>
      </text>
    </comment>
    <comment ref="B11" authorId="0" shapeId="0" xr:uid="{178BD987-DD67-4255-B598-BED1963DDD5B}">
      <text>
        <r>
          <rPr>
            <b/>
            <sz val="9"/>
            <color indexed="81"/>
            <rFont val="Tahoma"/>
            <family val="2"/>
          </rPr>
          <t>Author:</t>
        </r>
        <r>
          <rPr>
            <sz val="9"/>
            <color indexed="81"/>
            <rFont val="Tahoma"/>
            <family val="2"/>
          </rPr>
          <t xml:space="preserve">
Increased from 6:1</t>
        </r>
      </text>
    </comment>
    <comment ref="F20" authorId="0" shapeId="0" xr:uid="{E0E9FE30-33B0-4AFD-9610-B591D08DD3C1}">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BCE30FFD-20C2-4AC4-8898-16C63E37D994}">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 authorId="0" shapeId="0" xr:uid="{00000000-0006-0000-0F00-000001000000}">
      <text>
        <r>
          <rPr>
            <b/>
            <sz val="8"/>
            <color indexed="81"/>
            <rFont val="Tahoma"/>
            <family val="2"/>
          </rPr>
          <t>Author:</t>
        </r>
        <r>
          <rPr>
            <sz val="8"/>
            <color indexed="81"/>
            <rFont val="Tahoma"/>
            <family val="2"/>
          </rPr>
          <t xml:space="preserve">
Assumes M6</t>
        </r>
      </text>
    </comment>
    <comment ref="F3" authorId="0" shapeId="0" xr:uid="{00000000-0006-0000-0F00-000002000000}">
      <text>
        <r>
          <rPr>
            <b/>
            <sz val="8"/>
            <color indexed="81"/>
            <rFont val="Tahoma"/>
            <family val="2"/>
          </rPr>
          <t>Author:</t>
        </r>
        <r>
          <rPr>
            <sz val="8"/>
            <color indexed="81"/>
            <rFont val="Tahoma"/>
            <family val="2"/>
          </rPr>
          <t xml:space="preserve">
Assumes SCP 12</t>
        </r>
      </text>
    </comment>
    <comment ref="G3" authorId="0" shapeId="0" xr:uid="{00000000-0006-0000-0F00-000003000000}">
      <text>
        <r>
          <rPr>
            <b/>
            <sz val="8"/>
            <color indexed="81"/>
            <rFont val="Tahoma"/>
            <family val="2"/>
          </rPr>
          <t>Author:</t>
        </r>
        <r>
          <rPr>
            <sz val="8"/>
            <color indexed="81"/>
            <rFont val="Tahoma"/>
            <family val="2"/>
          </rPr>
          <t xml:space="preserve">
Assumes SCP 5 for 1h15 per day</t>
        </r>
      </text>
    </comment>
    <comment ref="B5" authorId="0" shapeId="0" xr:uid="{00000000-0006-0000-0F00-000004000000}">
      <text>
        <r>
          <rPr>
            <b/>
            <sz val="9"/>
            <color indexed="81"/>
            <rFont val="Tahoma"/>
            <family val="2"/>
          </rPr>
          <t>Author:</t>
        </r>
        <r>
          <rPr>
            <sz val="9"/>
            <color indexed="81"/>
            <rFont val="Tahoma"/>
            <family val="2"/>
          </rPr>
          <t xml:space="preserve">
Reduced from 2.5:1</t>
        </r>
      </text>
    </comment>
    <comment ref="B11" authorId="0" shapeId="0" xr:uid="{00000000-0006-0000-0F00-000005000000}">
      <text>
        <r>
          <rPr>
            <b/>
            <sz val="9"/>
            <color indexed="81"/>
            <rFont val="Tahoma"/>
            <family val="2"/>
          </rPr>
          <t>Author:</t>
        </r>
        <r>
          <rPr>
            <sz val="9"/>
            <color indexed="81"/>
            <rFont val="Tahoma"/>
            <family val="2"/>
          </rPr>
          <t xml:space="preserve">
Increased from 6:1</t>
        </r>
      </text>
    </comment>
    <comment ref="H20" authorId="0" shapeId="0" xr:uid="{00000000-0006-0000-0F00-000006000000}">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 ref="B34" authorId="0" shapeId="0" xr:uid="{00000000-0006-0000-0F00-000007000000}">
      <text>
        <r>
          <rPr>
            <b/>
            <sz val="9"/>
            <color indexed="81"/>
            <rFont val="Tahoma"/>
            <family val="2"/>
          </rPr>
          <t>Author:</t>
        </r>
        <r>
          <rPr>
            <sz val="9"/>
            <color indexed="81"/>
            <rFont val="Tahoma"/>
            <family val="2"/>
          </rPr>
          <t xml:space="preserve">
Reduced from 2.5:1</t>
        </r>
      </text>
    </comment>
    <comment ref="B38" authorId="0" shapeId="0" xr:uid="{00000000-0006-0000-0F00-000008000000}">
      <text>
        <r>
          <rPr>
            <b/>
            <sz val="9"/>
            <color indexed="81"/>
            <rFont val="Tahoma"/>
            <family val="2"/>
          </rPr>
          <t>Author:</t>
        </r>
        <r>
          <rPr>
            <sz val="9"/>
            <color indexed="81"/>
            <rFont val="Tahoma"/>
            <family val="2"/>
          </rPr>
          <t xml:space="preserve">
Reduced from 2.5:1</t>
        </r>
      </text>
    </comment>
    <comment ref="B42" authorId="0" shapeId="0" xr:uid="{00000000-0006-0000-0F00-000009000000}">
      <text>
        <r>
          <rPr>
            <b/>
            <sz val="9"/>
            <color indexed="81"/>
            <rFont val="Tahoma"/>
            <family val="2"/>
          </rPr>
          <t>Author:</t>
        </r>
        <r>
          <rPr>
            <sz val="9"/>
            <color indexed="81"/>
            <rFont val="Tahoma"/>
            <family val="2"/>
          </rPr>
          <t xml:space="preserve">
Reduced from 2.5:1</t>
        </r>
      </text>
    </comment>
  </commentList>
</comments>
</file>

<file path=xl/sharedStrings.xml><?xml version="1.0" encoding="utf-8"?>
<sst xmlns="http://schemas.openxmlformats.org/spreadsheetml/2006/main" count="3042" uniqueCount="1410">
  <si>
    <t>Information</t>
  </si>
  <si>
    <t>Worksheets colour coding: Main - black, Technical - no colour, Executive Summary - white, Workings - green, Supporting Data - blue, Evidence - orange.</t>
  </si>
  <si>
    <t>Insert as many "Workings" and "Supporting data" sheets as necessary and name them based on what they do contain.</t>
  </si>
  <si>
    <t>Hidden worksheet "Payscales 2019-20" included. "Information" worksheet should be also hidden if not used.</t>
  </si>
  <si>
    <t>Font face &amp; size to be used in the whole document: Arial 11.</t>
  </si>
  <si>
    <t>The "Header", "Executive Summary" and "Workings" tabs should be all presented in printable format and available to view from tablets - portrait orientation.</t>
  </si>
  <si>
    <t>The "Executive Summary" should be in plain bordered format.</t>
  </si>
  <si>
    <t>Longer text to be presented in wrapped format with vertical alignment.</t>
  </si>
  <si>
    <t>Title(s) - to allow for understanding and visual design: bold, merged, centred. No font or size change.</t>
  </si>
  <si>
    <t>Colours - use worksheet colour for headings + grey for separation columns and totals.</t>
  </si>
  <si>
    <t>Centred numbers</t>
  </si>
  <si>
    <t>£ used - change format to currency, decrease decimals to zero if wanted. Commas for £,000</t>
  </si>
  <si>
    <t>Automatic subtotals should be used for all tables: Select your data with headings, go to Data -&gt; Subtotal. Refer to the Matrix for further info.</t>
  </si>
  <si>
    <t>If subtotals not needed, only sums, autosum function can be used.</t>
  </si>
  <si>
    <t>View - gridlines / headings can be used to enable/disable gridlines and headings where necessary.</t>
  </si>
  <si>
    <t>Shortcuts</t>
  </si>
  <si>
    <t>"Shift + End + Arrow" will bring you to the last cell entered (in the specified direction) instead of scrolling.</t>
  </si>
  <si>
    <t>"Ctrl + D" will copy the cell above the active one.</t>
  </si>
  <si>
    <t>"Ctrl + PageDown" will move to the next worksheet.</t>
  </si>
  <si>
    <t>"Ctrl + ;" will insert current date.</t>
  </si>
  <si>
    <t>Text, design &amp; data</t>
  </si>
  <si>
    <t>It is recommended to hide all "unnecessary" info - all should be within 1 screen: hide columns.</t>
  </si>
  <si>
    <t>Annotations to give more detail on specific cells - insert comments.</t>
  </si>
  <si>
    <t>Wrap text and resize the row if there is too much text. Vertical alignment may be also necessary.</t>
  </si>
  <si>
    <t>Make tables readable: "Select all - format - autofit height/width".</t>
  </si>
  <si>
    <t>Formulas</t>
  </si>
  <si>
    <t>#DIV! errors are to be handled via IFERROR(value, value_if_error) function.</t>
  </si>
  <si>
    <t>ROUND(number, digits_to_round)</t>
  </si>
  <si>
    <t>SUM(range_of_cells)</t>
  </si>
  <si>
    <t>IF(test, value_if_true, value_if_false)</t>
  </si>
  <si>
    <t>VLOOKUP(value, table, column, precision)</t>
  </si>
  <si>
    <t>Hyperlinks are to be Added to the "Header" worksheet for immediate sheet access.</t>
  </si>
  <si>
    <t>Documents can be embedded through Insert -&gt; Object. Recommend to insert as icon.</t>
  </si>
  <si>
    <t>Screenshots can be produced using the Snipping tool.</t>
  </si>
  <si>
    <t>These can be afterwards added to Excel through Insert -&gt; Picture.</t>
  </si>
  <si>
    <t>Conditional formatting may be used to highlight automatically all required data.</t>
  </si>
  <si>
    <t>Finance Strategy: Children's Services Finance Team</t>
  </si>
  <si>
    <t>Subject:</t>
  </si>
  <si>
    <t>Subject's title</t>
  </si>
  <si>
    <t>Author:</t>
  </si>
  <si>
    <t>Author's name</t>
  </si>
  <si>
    <t>Completed:</t>
  </si>
  <si>
    <t>Date</t>
  </si>
  <si>
    <t>Financial year:</t>
  </si>
  <si>
    <t>Year</t>
  </si>
  <si>
    <t>Version:</t>
  </si>
  <si>
    <t>Version</t>
  </si>
  <si>
    <t>Please explain the purpose and the background to this report.</t>
  </si>
  <si>
    <t>Purpose:</t>
  </si>
  <si>
    <t>Please attach hyperlinks to used worksheets.</t>
  </si>
  <si>
    <t>Attached:</t>
  </si>
  <si>
    <t>Executive Summary:</t>
  </si>
  <si>
    <t>Executive Summary</t>
  </si>
  <si>
    <t>Workings:</t>
  </si>
  <si>
    <t>Workings</t>
  </si>
  <si>
    <t>Supporting data:</t>
  </si>
  <si>
    <t>Supporting data</t>
  </si>
  <si>
    <t>Evidence:</t>
  </si>
  <si>
    <t>Evidence</t>
  </si>
  <si>
    <t>Please write down any notes or assumptions made.</t>
  </si>
  <si>
    <t>Notes:</t>
  </si>
  <si>
    <t>Please state key risks and include financial impacts.</t>
  </si>
  <si>
    <t>Key risks:</t>
  </si>
  <si>
    <t>Example Executive Summary Title</t>
  </si>
  <si>
    <t>Name</t>
  </si>
  <si>
    <t>2018/19 Variance</t>
  </si>
  <si>
    <t>FTE</t>
  </si>
  <si>
    <t>2019/20 Budget</t>
  </si>
  <si>
    <t>2019/20 Staffing</t>
  </si>
  <si>
    <t>2019/20 TFM</t>
  </si>
  <si>
    <t>Total Cost 2019/20</t>
  </si>
  <si>
    <t>Item 1</t>
  </si>
  <si>
    <t>Item 2</t>
  </si>
  <si>
    <t>Item 3</t>
  </si>
  <si>
    <t>Item 4</t>
  </si>
  <si>
    <t>Item 5</t>
  </si>
  <si>
    <t>Item 6</t>
  </si>
  <si>
    <t>Total</t>
  </si>
  <si>
    <t>Example Working 1 Title</t>
  </si>
  <si>
    <t>Example Supporting Data 1 Title</t>
  </si>
  <si>
    <t>Date from</t>
  </si>
  <si>
    <t>Date to</t>
  </si>
  <si>
    <t>Del001</t>
  </si>
  <si>
    <t>Del001(T)</t>
  </si>
  <si>
    <t>Del002(T)</t>
  </si>
  <si>
    <t>Del003(T)</t>
  </si>
  <si>
    <t>Del004(T)</t>
  </si>
  <si>
    <t>Cost Centre</t>
  </si>
  <si>
    <t>Employee Group</t>
  </si>
  <si>
    <t>Position</t>
  </si>
  <si>
    <t>Position(T)</t>
  </si>
  <si>
    <t>Status(T)</t>
  </si>
  <si>
    <t>Employee</t>
  </si>
  <si>
    <t>Employee(T)</t>
  </si>
  <si>
    <t>Pay scale</t>
  </si>
  <si>
    <t>SCP (current)</t>
  </si>
  <si>
    <t>Increment Date</t>
  </si>
  <si>
    <t>Pension Scheme</t>
  </si>
  <si>
    <t>Contracted Hours</t>
  </si>
  <si>
    <t>CHILDSERV</t>
  </si>
  <si>
    <t>Childrens Services</t>
  </si>
  <si>
    <t>Safeguarding</t>
  </si>
  <si>
    <t>Fostering/LAC North (John Harris)</t>
  </si>
  <si>
    <t>Team Manager - Fostering North (RD)</t>
  </si>
  <si>
    <t>L10440</t>
  </si>
  <si>
    <t>ADM&amp;PROF</t>
  </si>
  <si>
    <t>Children &amp; Family Officer Level 1</t>
  </si>
  <si>
    <t>Permanent Position</t>
  </si>
  <si>
    <t>Surname, Name</t>
  </si>
  <si>
    <t>G6</t>
  </si>
  <si>
    <t>LC18</t>
  </si>
  <si>
    <t>LGPS2014</t>
  </si>
  <si>
    <t>Social Worker Level 1</t>
  </si>
  <si>
    <t>G8</t>
  </si>
  <si>
    <t>LC24</t>
  </si>
  <si>
    <t>Social Worker Level 2</t>
  </si>
  <si>
    <t>G9</t>
  </si>
  <si>
    <t>LC28</t>
  </si>
  <si>
    <t>Advanced Practitioner</t>
  </si>
  <si>
    <t>G10</t>
  </si>
  <si>
    <t>LC30</t>
  </si>
  <si>
    <t>ADM&amp;PROF Total</t>
  </si>
  <si>
    <t>Alternative Provision - Lincolnshire Free Schools</t>
  </si>
  <si>
    <t>AP Delivery</t>
  </si>
  <si>
    <t>Special School Formula Factors</t>
  </si>
  <si>
    <t>2024/25 Funding</t>
  </si>
  <si>
    <t>Number of Places</t>
  </si>
  <si>
    <t>AP</t>
  </si>
  <si>
    <t>Commissioned Place Value (AP)</t>
  </si>
  <si>
    <t>*</t>
  </si>
  <si>
    <t>A ratio of 2.7 to 1, requires for every 8 children, 1 Teacher &amp; 2 TA.</t>
  </si>
  <si>
    <t>Pastoral Network Support and Intervention</t>
  </si>
  <si>
    <t>Includes: Pastoral Manager (0.5); Pastoral TAs (2); Care Team Manager (0.5)</t>
  </si>
  <si>
    <t>Banded Funding</t>
  </si>
  <si>
    <r>
      <t>Free School Meals factor</t>
    </r>
    <r>
      <rPr>
        <i/>
        <sz val="11"/>
        <rFont val="Arial"/>
        <family val="2"/>
      </rPr>
      <t xml:space="preserve"> (Illustration)</t>
    </r>
  </si>
  <si>
    <t>of cohort with FSMs</t>
  </si>
  <si>
    <t>School Size</t>
  </si>
  <si>
    <t>School Size 4</t>
  </si>
  <si>
    <t>Banding funding between £0.817m to £1.108m</t>
  </si>
  <si>
    <t>Staffing Block</t>
  </si>
  <si>
    <t>Prior funding adjustments from Staffing block to avoid double funding</t>
  </si>
  <si>
    <t>Non-Staffing Block</t>
  </si>
  <si>
    <t>Total Indicative Funding (Place &amp; Top up Funding)</t>
  </si>
  <si>
    <t>Additional Funding Mechanisms</t>
  </si>
  <si>
    <t>Data and Exams Manager</t>
  </si>
  <si>
    <t>Attendance Officer</t>
  </si>
  <si>
    <t>Neet Prevention Mentor</t>
  </si>
  <si>
    <t>Support and Delivery</t>
  </si>
  <si>
    <t>Total Indicative Funding (including Support Mechanisms)</t>
  </si>
  <si>
    <t>3.4% Grant Allocation</t>
  </si>
  <si>
    <t>Total Indicative Funding (including 3.4% Grant Allocation)</t>
  </si>
  <si>
    <t>DfE Place and Top up Presentation (Indicative Funding)</t>
  </si>
  <si>
    <t>Place Rate Funding</t>
  </si>
  <si>
    <t>Top up Funding</t>
  </si>
  <si>
    <t>Total Indicative Place &amp; Top up funding</t>
  </si>
  <si>
    <t>Total Funding - DfE Place and Top up Presentation</t>
  </si>
  <si>
    <t>2023/24 allocation</t>
  </si>
  <si>
    <t>Excludes the Teachers' Pay and Pension funding previously devolved (£1,384,685 - £53,771)</t>
  </si>
  <si>
    <t>2024/25 allocation</t>
  </si>
  <si>
    <t>MFG % difference from 2023/24 to 2024/25</t>
  </si>
  <si>
    <t>Above +3% MFG assessment (based on Places numbers and Type remaining the same as 2021/22)</t>
  </si>
  <si>
    <t>Total Funding Per School</t>
  </si>
  <si>
    <t>Total Funding Across the 4 Schools</t>
  </si>
  <si>
    <t>Notes</t>
  </si>
  <si>
    <t>Teachers' pay and pension grant remains within the band funding rates and staffing block.</t>
  </si>
  <si>
    <t>* SEMH agreed places within the 252 AP places are paid in addition to the identified budget.</t>
  </si>
  <si>
    <t>Funding Formula Mechanisms</t>
  </si>
  <si>
    <t>1. Funding adjustments for top up will continue to be considered in the Summer term when considering top up reductions for that specific academic year.</t>
  </si>
  <si>
    <t xml:space="preserve">2. Funding for PRUs, AP academies and AP free schools requires the identification of places. We have not defined a place in the regulations, but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</si>
  <si>
    <t xml:space="preserve">Local authority </t>
  </si>
  <si>
    <t>Local authority name</t>
  </si>
  <si>
    <t>URN</t>
  </si>
  <si>
    <t>LAEstab</t>
  </si>
  <si>
    <t>Estab</t>
  </si>
  <si>
    <t>School name</t>
  </si>
  <si>
    <t>Period covered by return</t>
  </si>
  <si>
    <t>Grant income</t>
  </si>
  <si>
    <t>3.4% of grant</t>
  </si>
  <si>
    <t>Federation flag?</t>
  </si>
  <si>
    <t>Academy/
Maintained</t>
  </si>
  <si>
    <t>Barking and Dagenham</t>
  </si>
  <si>
    <t>Mayesbrook Park School</t>
  </si>
  <si>
    <t>M</t>
  </si>
  <si>
    <t>Barnet</t>
  </si>
  <si>
    <t>Pavilion Study Centre</t>
  </si>
  <si>
    <t>Northgate School</t>
  </si>
  <si>
    <t>Barnsley</t>
  </si>
  <si>
    <t>Springwell Alternative Academy</t>
  </si>
  <si>
    <t>A</t>
  </si>
  <si>
    <t>Bedford</t>
  </si>
  <si>
    <t>Greys Education Centre</t>
  </si>
  <si>
    <t>Bexley</t>
  </si>
  <si>
    <t>Horizons Academy Bexley</t>
  </si>
  <si>
    <t>Birmingham</t>
  </si>
  <si>
    <t>City of Birmingham School</t>
  </si>
  <si>
    <t>East Birmingham Network Academy</t>
  </si>
  <si>
    <t>Ebn Academy  2</t>
  </si>
  <si>
    <t>Reach School</t>
  </si>
  <si>
    <t>The Edge Academy</t>
  </si>
  <si>
    <t>Titan Aston Academy</t>
  </si>
  <si>
    <t>Titan St Georges Academy</t>
  </si>
  <si>
    <t>Blackburn with Darwen</t>
  </si>
  <si>
    <t>St Thomas's Centre</t>
  </si>
  <si>
    <t>The Heights Free School</t>
  </si>
  <si>
    <t>Blackpool</t>
  </si>
  <si>
    <t>Educational Diversity</t>
  </si>
  <si>
    <t>Bolton</t>
  </si>
  <si>
    <t>Forwards Centre</t>
  </si>
  <si>
    <t>Park School Teaching Service</t>
  </si>
  <si>
    <t>Youth Challenge PRU</t>
  </si>
  <si>
    <t>Bournemouth, Christchurch and Poole</t>
  </si>
  <si>
    <t>Christchurch Learning Centre</t>
  </si>
  <si>
    <t>The Quay School</t>
  </si>
  <si>
    <t>Bracknell Forest</t>
  </si>
  <si>
    <t>College Hall</t>
  </si>
  <si>
    <t>Bradford</t>
  </si>
  <si>
    <t>Park Aspire</t>
  </si>
  <si>
    <t>Bradford Alternative Provision Academy</t>
  </si>
  <si>
    <t>Brent</t>
  </si>
  <si>
    <t>Brent River College</t>
  </si>
  <si>
    <t>Ashley College</t>
  </si>
  <si>
    <t>Roundwood School and Community Centre</t>
  </si>
  <si>
    <t>Brighton and Hove</t>
  </si>
  <si>
    <t>Central Hub Brighton</t>
  </si>
  <si>
    <t>Bristol, City of</t>
  </si>
  <si>
    <t>Bristol Hospital Education Service</t>
  </si>
  <si>
    <t>Lansdown Park Academy</t>
  </si>
  <si>
    <t>Snowdon Village</t>
  </si>
  <si>
    <t>St Matthias Academy</t>
  </si>
  <si>
    <t>Bromley</t>
  </si>
  <si>
    <t>Bromley Trust Alternative Provision Academy</t>
  </si>
  <si>
    <t>Buckinghamshire</t>
  </si>
  <si>
    <t>Aspire</t>
  </si>
  <si>
    <t>The Buckinghamshire Primary Pupil Referral Unit</t>
  </si>
  <si>
    <t>Kite Ridge School</t>
  </si>
  <si>
    <t>Bury</t>
  </si>
  <si>
    <t>Bury Secondary PRU Spring Lane School</t>
  </si>
  <si>
    <t>Calderdale</t>
  </si>
  <si>
    <t>The Whitley AP Academy</t>
  </si>
  <si>
    <t>Cambridgeshire</t>
  </si>
  <si>
    <t>Pilgrim Pathways School</t>
  </si>
  <si>
    <t>Olive Ap Academy - Cambridge</t>
  </si>
  <si>
    <t>Olive Ap Academy - Nene Valley</t>
  </si>
  <si>
    <t>Camden</t>
  </si>
  <si>
    <t>CCfL Key Stage 3 PRU</t>
  </si>
  <si>
    <t>Part-year data</t>
  </si>
  <si>
    <t>Camden Primary Pupil Referral Unit</t>
  </si>
  <si>
    <t>Camden Centre for Learning (Ccfl) PRU</t>
  </si>
  <si>
    <t>The ArtsXchange</t>
  </si>
  <si>
    <t>Central Bedfordshire</t>
  </si>
  <si>
    <t>The Academy of Central Bedfordshire</t>
  </si>
  <si>
    <t>Cheshire East</t>
  </si>
  <si>
    <t>Oakfield Lodge School</t>
  </si>
  <si>
    <t>The Fermain Academy</t>
  </si>
  <si>
    <t>Cheshire West and Chester</t>
  </si>
  <si>
    <t>The Bridge Short Stay School</t>
  </si>
  <si>
    <t>Ancora House School</t>
  </si>
  <si>
    <t>Cornwall</t>
  </si>
  <si>
    <t>Caradon Alternative Provision Academy</t>
  </si>
  <si>
    <t>Community &amp; Hospital Education Service Ap Academy</t>
  </si>
  <si>
    <t>Nine Maidens Alternative Provision Academy</t>
  </si>
  <si>
    <t>North Cornwall Alternative Provision Academy</t>
  </si>
  <si>
    <t>Penwith Alternative Provision Academy</t>
  </si>
  <si>
    <t>Restormel Alternative Provision Academy</t>
  </si>
  <si>
    <t>Carrick Alternative Provision Academy</t>
  </si>
  <si>
    <t>County Durham</t>
  </si>
  <si>
    <t>The Woodlands</t>
  </si>
  <si>
    <t>Endeavour Academy Durham</t>
  </si>
  <si>
    <t>Coventry</t>
  </si>
  <si>
    <t>Hospital Education Service</t>
  </si>
  <si>
    <t>Coventry Extended Learning Centre</t>
  </si>
  <si>
    <t>Croydon</t>
  </si>
  <si>
    <t>Saffron Valley Collegiate</t>
  </si>
  <si>
    <t>Harris Aspire Academy</t>
  </si>
  <si>
    <t>Cumbria</t>
  </si>
  <si>
    <t>West Cumbria Learning Centre</t>
  </si>
  <si>
    <t>Gillford Centre</t>
  </si>
  <si>
    <t>Newbridge House PRU</t>
  </si>
  <si>
    <t>Darlington</t>
  </si>
  <si>
    <t>Rise Carr College</t>
  </si>
  <si>
    <t>Derby</t>
  </si>
  <si>
    <t>Derby Pride Academy</t>
  </si>
  <si>
    <t>Newton's Walk</t>
  </si>
  <si>
    <t>The Kingsmead School</t>
  </si>
  <si>
    <t>Derbyshire</t>
  </si>
  <si>
    <t>Amber Valley and Erewash Support Centre</t>
  </si>
  <si>
    <t>North East Derbyshire Support Centre</t>
  </si>
  <si>
    <t>South Derbyshire Support Centre</t>
  </si>
  <si>
    <t>Devon</t>
  </si>
  <si>
    <t>Devon Hospitals' Short Stay School</t>
  </si>
  <si>
    <t>River Dart Academy</t>
  </si>
  <si>
    <t>Stansfield Academy</t>
  </si>
  <si>
    <t>The Shoreline Academy</t>
  </si>
  <si>
    <t>Torlands Academy</t>
  </si>
  <si>
    <t>Doncaster</t>
  </si>
  <si>
    <t>The Levett School</t>
  </si>
  <si>
    <t>Maple Medical PRU</t>
  </si>
  <si>
    <t>St Wilfrid's Academy, Doncaster</t>
  </si>
  <si>
    <t>Dorset</t>
  </si>
  <si>
    <t>Dorchester Learning Centre</t>
  </si>
  <si>
    <t>The Compass</t>
  </si>
  <si>
    <t>The Forum Centre</t>
  </si>
  <si>
    <t>Harbour Vale School</t>
  </si>
  <si>
    <t>Dudley</t>
  </si>
  <si>
    <t>Cherry Tree Learning Centre</t>
  </si>
  <si>
    <t>Sycamore Short Stay School</t>
  </si>
  <si>
    <t>Ealing</t>
  </si>
  <si>
    <t>Ealing Primary Centre</t>
  </si>
  <si>
    <t>Ealing Alternative Provision</t>
  </si>
  <si>
    <t>East Riding of Yorkshire</t>
  </si>
  <si>
    <t>The Hub School</t>
  </si>
  <si>
    <t>East Sussex</t>
  </si>
  <si>
    <t>College Central</t>
  </si>
  <si>
    <t>The Workplace</t>
  </si>
  <si>
    <t>Enfield</t>
  </si>
  <si>
    <t>Orchardside School</t>
  </si>
  <si>
    <t>Essex</t>
  </si>
  <si>
    <t>Beckmead Moundwood Academy</t>
  </si>
  <si>
    <t>The St Aubyn Centre Education Department</t>
  </si>
  <si>
    <t>Poplar Adolescent Unit</t>
  </si>
  <si>
    <t>Children's Support Service Langdon Hills Basildon</t>
  </si>
  <si>
    <t>Heybridge Co-Operative Academy</t>
  </si>
  <si>
    <t>North East Essex Co-Operative Academy</t>
  </si>
  <si>
    <t>Gateshead</t>
  </si>
  <si>
    <t>River Tyne Academy Gateshead</t>
  </si>
  <si>
    <t>Gloucestershire</t>
  </si>
  <si>
    <t>Abbey View</t>
  </si>
  <si>
    <t>Gloucestershire Hospital Education Service</t>
  </si>
  <si>
    <t>Gloucester and Forest Alternative Provision School</t>
  </si>
  <si>
    <t>Severn Valley School</t>
  </si>
  <si>
    <t>Cheltenham and Tewkesbury Alternative Provision School</t>
  </si>
  <si>
    <t>Greenwich</t>
  </si>
  <si>
    <t>Newhaven Pupil Referral Unit</t>
  </si>
  <si>
    <t>Hackney</t>
  </si>
  <si>
    <t>New Regent's College</t>
  </si>
  <si>
    <t>The Boxing Academy AP Free School</t>
  </si>
  <si>
    <t>Halton</t>
  </si>
  <si>
    <t>The Bridge School</t>
  </si>
  <si>
    <t>Hammersmith and Fulham</t>
  </si>
  <si>
    <t>Ormiston Bridge Academy</t>
  </si>
  <si>
    <t>Ormiston Courtyard Academy</t>
  </si>
  <si>
    <t>Westside School</t>
  </si>
  <si>
    <t>Hampshire</t>
  </si>
  <si>
    <t>The Bridge Education Centre</t>
  </si>
  <si>
    <t>The Key Education Centre</t>
  </si>
  <si>
    <t>Rowhill School</t>
  </si>
  <si>
    <t>Smannell Field School</t>
  </si>
  <si>
    <t>Greenwood School</t>
  </si>
  <si>
    <t>The Ashwood Academy</t>
  </si>
  <si>
    <t>The Eaglewood School</t>
  </si>
  <si>
    <t>Haringey</t>
  </si>
  <si>
    <t>Haringey Learning Partnership</t>
  </si>
  <si>
    <t>Harrow</t>
  </si>
  <si>
    <t>The Helix Education Centre</t>
  </si>
  <si>
    <t>The Jubilee Academy - Harrow</t>
  </si>
  <si>
    <t>Hartlepool</t>
  </si>
  <si>
    <t>The Horizon School, Hartlepool</t>
  </si>
  <si>
    <t>Havering</t>
  </si>
  <si>
    <t>Olive Ap Academy - Havering</t>
  </si>
  <si>
    <t>Herefordshire, County of</t>
  </si>
  <si>
    <t>Herefordshire Pupil Referral Service</t>
  </si>
  <si>
    <t>Hertfordshire</t>
  </si>
  <si>
    <t>Links Academy</t>
  </si>
  <si>
    <t>Links Hatfield Academy</t>
  </si>
  <si>
    <t>North Herts Education Support Centre</t>
  </si>
  <si>
    <t>Dacorum Education Support Centre</t>
  </si>
  <si>
    <t>Chessbrook Education Support Centre</t>
  </si>
  <si>
    <t>Stevenage Education Support Centre</t>
  </si>
  <si>
    <t>Rivers Education Support Centre</t>
  </si>
  <si>
    <t>Roman Fields Academy</t>
  </si>
  <si>
    <t>Hillingdon</t>
  </si>
  <si>
    <t>The Skills Hub</t>
  </si>
  <si>
    <t>Hounslow</t>
  </si>
  <si>
    <t>The Woodbridge Park Education Service</t>
  </si>
  <si>
    <t>Isle of Wight</t>
  </si>
  <si>
    <t>Island Learning Centre</t>
  </si>
  <si>
    <t>Islington</t>
  </si>
  <si>
    <t>New River College Secondary</t>
  </si>
  <si>
    <t>Federation Lead</t>
  </si>
  <si>
    <t>New River College Primary</t>
  </si>
  <si>
    <t>In federation</t>
  </si>
  <si>
    <t>New River College Medical</t>
  </si>
  <si>
    <t>The Pears Family School</t>
  </si>
  <si>
    <t>Kensington and Chelsea</t>
  </si>
  <si>
    <t>Ormiston Latimer Academy</t>
  </si>
  <si>
    <t>Kent</t>
  </si>
  <si>
    <t>The Rosewood School</t>
  </si>
  <si>
    <t>Birchwood</t>
  </si>
  <si>
    <t>Enterprise Learning Alliance</t>
  </si>
  <si>
    <t>Maidstone and Malling Alternative Provision</t>
  </si>
  <si>
    <t>Two Bridges School</t>
  </si>
  <si>
    <t>North West Kent Alternative Provision Service</t>
  </si>
  <si>
    <t>Kingston upon Hull, City of</t>
  </si>
  <si>
    <t>Aspire Academy - Hull</t>
  </si>
  <si>
    <t>Euler Academy</t>
  </si>
  <si>
    <t>Rise Academy</t>
  </si>
  <si>
    <t>The Compass Academy</t>
  </si>
  <si>
    <t>The Sullivan Centre</t>
  </si>
  <si>
    <t>The Venn Boulevard Centre</t>
  </si>
  <si>
    <t>Whitehouse Pupil Referral Unit</t>
  </si>
  <si>
    <t>Kingston upon Thames</t>
  </si>
  <si>
    <t>Malden Oaks School and Tuition Service</t>
  </si>
  <si>
    <t>Kirklees</t>
  </si>
  <si>
    <t>Engage Academy</t>
  </si>
  <si>
    <t>Ethos College</t>
  </si>
  <si>
    <t>Reach Academy - Batley</t>
  </si>
  <si>
    <t>Knowsley</t>
  </si>
  <si>
    <t>Meadow Park School</t>
  </si>
  <si>
    <t>Lambeth</t>
  </si>
  <si>
    <t>Kennington Park Academy</t>
  </si>
  <si>
    <t>Park Campus Academy</t>
  </si>
  <si>
    <t>Lancashire</t>
  </si>
  <si>
    <t>Coal Clough Academy</t>
  </si>
  <si>
    <t>Golden Hill Pupil Referral Unit</t>
  </si>
  <si>
    <t>The Acorns School</t>
  </si>
  <si>
    <t>Stepping Stones School</t>
  </si>
  <si>
    <t>Shaftesbury High School</t>
  </si>
  <si>
    <t>McKee College House</t>
  </si>
  <si>
    <t>Chadwick High School</t>
  </si>
  <si>
    <t>Oswaldtwistle School</t>
  </si>
  <si>
    <t>Larches High School</t>
  </si>
  <si>
    <t>The Heights Burnley</t>
  </si>
  <si>
    <t>Leeds</t>
  </si>
  <si>
    <t>The Elland Academy</t>
  </si>
  <si>
    <t>The Stephen Longfellow Academy</t>
  </si>
  <si>
    <t>Leicester</t>
  </si>
  <si>
    <t>Leicester Partnership School</t>
  </si>
  <si>
    <t>Leicester City Primary PRU</t>
  </si>
  <si>
    <t>Leicestershire</t>
  </si>
  <si>
    <t>Oakfield School</t>
  </si>
  <si>
    <t>Lewisham</t>
  </si>
  <si>
    <t>Abbey Manor College</t>
  </si>
  <si>
    <t>Lincolnshire</t>
  </si>
  <si>
    <t>Acorn Free School</t>
  </si>
  <si>
    <t>Springwell Alternative Academy Grantham</t>
  </si>
  <si>
    <t>Springwell Alternative Academy Lincoln</t>
  </si>
  <si>
    <t>Springwell Alternative Academy Mablethorpe</t>
  </si>
  <si>
    <t>Springwell Alternative Academy Spalding</t>
  </si>
  <si>
    <t>Springwell Lincoln City Academy</t>
  </si>
  <si>
    <t>Part year data</t>
  </si>
  <si>
    <t>Liverpool</t>
  </si>
  <si>
    <t>ASPIRE Centre, Kings Leadership Academy Liverpool</t>
  </si>
  <si>
    <t>Everton Free School</t>
  </si>
  <si>
    <t>Harmonize Academy AP Free School</t>
  </si>
  <si>
    <t>New Heights High School</t>
  </si>
  <si>
    <t>Luton</t>
  </si>
  <si>
    <t>Avenue Centre for Education</t>
  </si>
  <si>
    <t>Manchester</t>
  </si>
  <si>
    <t>Manchester Secondary PRU</t>
  </si>
  <si>
    <t>Bridgelea Pupil Referral Unit</t>
  </si>
  <si>
    <t>Medway</t>
  </si>
  <si>
    <t>Will Adams Centre</t>
  </si>
  <si>
    <t>The Rowans</t>
  </si>
  <si>
    <t>Will Adams Academy</t>
  </si>
  <si>
    <t>Merton</t>
  </si>
  <si>
    <t>Canterbury Campus</t>
  </si>
  <si>
    <t>Middlesbrough</t>
  </si>
  <si>
    <t>River Tees High Academy</t>
  </si>
  <si>
    <t>River Tees Middle Academy</t>
  </si>
  <si>
    <t>River Tees Primary Academy</t>
  </si>
  <si>
    <t>Milton Keynes</t>
  </si>
  <si>
    <t>Bridge Academy - Milton Keynes</t>
  </si>
  <si>
    <t>Milton Keynes Primary Pupil Referral Unit</t>
  </si>
  <si>
    <t>Newcastle upon Tyne</t>
  </si>
  <si>
    <t>Mary Astell Academy</t>
  </si>
  <si>
    <t>Newcastle Bridges School</t>
  </si>
  <si>
    <t>Newham</t>
  </si>
  <si>
    <t>Education Links</t>
  </si>
  <si>
    <t>Tunmarsh School</t>
  </si>
  <si>
    <t>New Directions</t>
  </si>
  <si>
    <t>Norfolk</t>
  </si>
  <si>
    <t>Short Stay School for Norfolk</t>
  </si>
  <si>
    <t>The Pinetree School</t>
  </si>
  <si>
    <t>North East Lincolnshire</t>
  </si>
  <si>
    <t>Phoenix Park Academy</t>
  </si>
  <si>
    <t>Sevenhills Academy</t>
  </si>
  <si>
    <t>North Lincolnshire</t>
  </si>
  <si>
    <t>Coritani Academy</t>
  </si>
  <si>
    <t>The Darley Centre</t>
  </si>
  <si>
    <t>North Somerset</t>
  </si>
  <si>
    <t>Voyage Learning Campus</t>
  </si>
  <si>
    <t>North Tyneside</t>
  </si>
  <si>
    <t>Moorbridge</t>
  </si>
  <si>
    <t>North Yorkshire</t>
  </si>
  <si>
    <t>The Rubicon Centre</t>
  </si>
  <si>
    <t>Hambleton/Richmondshire Pupil Referral Service</t>
  </si>
  <si>
    <t>Scarborough Pupil Referral Unit</t>
  </si>
  <si>
    <t>Craven Pupil Referral Service</t>
  </si>
  <si>
    <t>Springwell Harrogate</t>
  </si>
  <si>
    <t>Northumberland</t>
  </si>
  <si>
    <t>Northumberland Pupil Referral Unit</t>
  </si>
  <si>
    <t>Nottingham</t>
  </si>
  <si>
    <t>CP Riverside School</t>
  </si>
  <si>
    <t>Denewood Academy</t>
  </si>
  <si>
    <t>Hospital and Home Education PRU</t>
  </si>
  <si>
    <t>Stone Soup Academy</t>
  </si>
  <si>
    <t>Unity Academy</t>
  </si>
  <si>
    <t>Oldham</t>
  </si>
  <si>
    <t>Kingsland School</t>
  </si>
  <si>
    <t>Oxfordshire</t>
  </si>
  <si>
    <t>Meadowbrook College</t>
  </si>
  <si>
    <t>Peterborough</t>
  </si>
  <si>
    <t>Richard Barnes Academy</t>
  </si>
  <si>
    <t>Plymouth</t>
  </si>
  <si>
    <t>ACE Schools Plymouth</t>
  </si>
  <si>
    <t>Reading</t>
  </si>
  <si>
    <t>Cranbury College</t>
  </si>
  <si>
    <t>Redbridge</t>
  </si>
  <si>
    <t>Beacon Business Innovation Hub</t>
  </si>
  <si>
    <t>The Constance Bridgeman Centre</t>
  </si>
  <si>
    <t>Redbridge Alternative Provision</t>
  </si>
  <si>
    <t>Redcar and Cleveland</t>
  </si>
  <si>
    <t>Archway Academy</t>
  </si>
  <si>
    <t>Archway</t>
  </si>
  <si>
    <t>Rochdale</t>
  </si>
  <si>
    <t>Rochdale Pupil Referral Service</t>
  </si>
  <si>
    <t>Did not submit</t>
  </si>
  <si>
    <t>Rotherham</t>
  </si>
  <si>
    <t>Rotherham Aspire</t>
  </si>
  <si>
    <t>The Rowan Centre</t>
  </si>
  <si>
    <t>Salford</t>
  </si>
  <si>
    <t>The Canterbury Centre</t>
  </si>
  <si>
    <t>The New Broadwalk PRU</t>
  </si>
  <si>
    <t>Alder Brook</t>
  </si>
  <si>
    <t>The Clifton Centre</t>
  </si>
  <si>
    <t>Sandwell</t>
  </si>
  <si>
    <t>The Primrose Centre</t>
  </si>
  <si>
    <t>Albright Education Centre</t>
  </si>
  <si>
    <t>Sandwell Community School</t>
  </si>
  <si>
    <t>Sefton</t>
  </si>
  <si>
    <t>IMPACT</t>
  </si>
  <si>
    <t>Jigsaw Primary Pupil Referral Unit</t>
  </si>
  <si>
    <t>Sheffield</t>
  </si>
  <si>
    <t>Sheffield Inclusion Centre</t>
  </si>
  <si>
    <t>Shropshire</t>
  </si>
  <si>
    <t>Tuition, Medical and Behaviour Support Service</t>
  </si>
  <si>
    <t>Slough</t>
  </si>
  <si>
    <t>Haybrook College</t>
  </si>
  <si>
    <t>Solihull</t>
  </si>
  <si>
    <t>Solihull Alternative Provision Academy</t>
  </si>
  <si>
    <t>Triple Crown Centre</t>
  </si>
  <si>
    <t>Summerfield Education Centre</t>
  </si>
  <si>
    <t>Somerset</t>
  </si>
  <si>
    <t>South Somerset Partnership School</t>
  </si>
  <si>
    <t>Tor School</t>
  </si>
  <si>
    <t>Taunton Deane Partnership College</t>
  </si>
  <si>
    <t>The Bridge School Sedgemoor</t>
  </si>
  <si>
    <t>South Gloucestershire</t>
  </si>
  <si>
    <t>Pathways Learning Centre</t>
  </si>
  <si>
    <t>South Tyneside</t>
  </si>
  <si>
    <t>Alternative Education Service - The Beacon Centre</t>
  </si>
  <si>
    <t>Southampton</t>
  </si>
  <si>
    <t>Southampton Hospital School</t>
  </si>
  <si>
    <t>Compass School</t>
  </si>
  <si>
    <t>Southend-on-Sea</t>
  </si>
  <si>
    <t>Southend YMCA Community School</t>
  </si>
  <si>
    <t>Victory Park Academy</t>
  </si>
  <si>
    <t>Southwark</t>
  </si>
  <si>
    <t>Southwark Inclusive Learning Service (Sils)</t>
  </si>
  <si>
    <t>St. Helens</t>
  </si>
  <si>
    <t>Pace</t>
  </si>
  <si>
    <t>Launchpad Centre</t>
  </si>
  <si>
    <t>Staffordshire</t>
  </si>
  <si>
    <t>Bailey Street Alternative Provision Academy</t>
  </si>
  <si>
    <t>Chaselea Alternative Provision Academy</t>
  </si>
  <si>
    <t>Kettlebrook Short Stay School</t>
  </si>
  <si>
    <t>Bridge Short Stay School</t>
  </si>
  <si>
    <t>Burton PRU</t>
  </si>
  <si>
    <t>Cedars - Newcastle, Moorlands and Darwin Bases</t>
  </si>
  <si>
    <t>Stockport</t>
  </si>
  <si>
    <t>The Pendlebury Centre</t>
  </si>
  <si>
    <t>Moat House</t>
  </si>
  <si>
    <t>Highfields College</t>
  </si>
  <si>
    <t>Stockton-on-Tees</t>
  </si>
  <si>
    <t>Bishopton PRU</t>
  </si>
  <si>
    <t>Bishopton Centre</t>
  </si>
  <si>
    <t>Stoke-on-Trent</t>
  </si>
  <si>
    <t>Merit Hospital School and Medical Pupil Referral Unit</t>
  </si>
  <si>
    <t>Suffolk</t>
  </si>
  <si>
    <t>Alderwood Academy</t>
  </si>
  <si>
    <t>Chalk Hill</t>
  </si>
  <si>
    <t>First Base Bury St Edmunds</t>
  </si>
  <si>
    <t>First Base Ipswich Academy</t>
  </si>
  <si>
    <t xml:space="preserve">Olive Ap - Academy Suffolk </t>
  </si>
  <si>
    <t>Parkside Academy - Ipswich</t>
  </si>
  <si>
    <t>St Christopher's Academy - Ipswich</t>
  </si>
  <si>
    <t>The Albany</t>
  </si>
  <si>
    <t>First Base</t>
  </si>
  <si>
    <t>Horizon School</t>
  </si>
  <si>
    <t>Harbour</t>
  </si>
  <si>
    <t>Old Warren House School</t>
  </si>
  <si>
    <t>Westbridge Academy - Ipswich</t>
  </si>
  <si>
    <t>Sunderland</t>
  </si>
  <si>
    <t>Beacon of Light School</t>
  </si>
  <si>
    <t>Consilium Evolve</t>
  </si>
  <si>
    <t>The Link School</t>
  </si>
  <si>
    <t>Surrey</t>
  </si>
  <si>
    <t>Fordway Centre</t>
  </si>
  <si>
    <t>Reigate Valley College</t>
  </si>
  <si>
    <t>The Hope Service</t>
  </si>
  <si>
    <t>The Surrey Teaching Centre</t>
  </si>
  <si>
    <t>Wey Valley College</t>
  </si>
  <si>
    <t>North East Surrey Secondary Short Stay School</t>
  </si>
  <si>
    <t>North West Surrey Short Stay School</t>
  </si>
  <si>
    <t>St Peter's Centre</t>
  </si>
  <si>
    <t>Sutton</t>
  </si>
  <si>
    <t>The Limes College</t>
  </si>
  <si>
    <t>Sutton Tuition and Reintegration Service</t>
  </si>
  <si>
    <t>Swindon</t>
  </si>
  <si>
    <t>EOTAS Swindon</t>
  </si>
  <si>
    <t>Tameside</t>
  </si>
  <si>
    <t>Tameside Pupil Referral Service</t>
  </si>
  <si>
    <t>Telford and Wrekin</t>
  </si>
  <si>
    <t>Kickstart Academy</t>
  </si>
  <si>
    <t>The Linden Centre</t>
  </si>
  <si>
    <t>Thurrock</t>
  </si>
  <si>
    <t>Olive AP Academy - Thurrock</t>
  </si>
  <si>
    <t>Torbay</t>
  </si>
  <si>
    <t>The Burton Academy</t>
  </si>
  <si>
    <t>Tower Hamlets</t>
  </si>
  <si>
    <t>South Quay College</t>
  </si>
  <si>
    <t>London East Alternative Provision</t>
  </si>
  <si>
    <t>Trafford</t>
  </si>
  <si>
    <t>Trafford Alternative Education Provision</t>
  </si>
  <si>
    <t>Wakefield</t>
  </si>
  <si>
    <t>Evolve Academy</t>
  </si>
  <si>
    <t>The Priory Centre</t>
  </si>
  <si>
    <t>Pinderfields Hospital PRU</t>
  </si>
  <si>
    <t>The Springfield Centre</t>
  </si>
  <si>
    <t>Walsall</t>
  </si>
  <si>
    <t>The Ladder School</t>
  </si>
  <si>
    <t>New Leaf Centre</t>
  </si>
  <si>
    <t>Shepwell  Short Stay School (PRU-Medical)</t>
  </si>
  <si>
    <t>Waltham Forest</t>
  </si>
  <si>
    <t>Hawkswood  (Therapeutic)</t>
  </si>
  <si>
    <t>Hawkswood Primary PRU</t>
  </si>
  <si>
    <t>Burnside Secondary PRU</t>
  </si>
  <si>
    <t>Wandsworth</t>
  </si>
  <si>
    <t>Francis Barber Pupil Referral Unit</t>
  </si>
  <si>
    <t>Victoria Drive Primary Pupil Referral Unit</t>
  </si>
  <si>
    <t>Wandsworth Hospital and Home Tuition Service</t>
  </si>
  <si>
    <t>Warrington</t>
  </si>
  <si>
    <t>Kassia Academy and Support Services</t>
  </si>
  <si>
    <t>West Berkshire</t>
  </si>
  <si>
    <t>iCollege Alternative Provision</t>
  </si>
  <si>
    <t>West Northamptonshire</t>
  </si>
  <si>
    <t>Hospital and Outreach Education</t>
  </si>
  <si>
    <t>The Spires Academy</t>
  </si>
  <si>
    <t>The CE Academy</t>
  </si>
  <si>
    <t>West Sussex</t>
  </si>
  <si>
    <t>West Sussex Alternative Provision College</t>
  </si>
  <si>
    <t>Westminster</t>
  </si>
  <si>
    <t>Ormiston Beachcroft Academy</t>
  </si>
  <si>
    <t>Wigan</t>
  </si>
  <si>
    <t>Three Towers Alternative Provision Academy</t>
  </si>
  <si>
    <t>Wokingham</t>
  </si>
  <si>
    <t>Foundry College</t>
  </si>
  <si>
    <t>CAMHS Phoenix School</t>
  </si>
  <si>
    <t>Wolverhampton</t>
  </si>
  <si>
    <t>Evergreen Academy</t>
  </si>
  <si>
    <t>The Orchard Centre (Home and Hospital PRU)</t>
  </si>
  <si>
    <t>Midpoint Centre (Key Stage 4 PRU)</t>
  </si>
  <si>
    <t>The Braybrook Centre (Key Stage 3 PRU)</t>
  </si>
  <si>
    <t>Worcestershire</t>
  </si>
  <si>
    <t>ContinU Plus Academy</t>
  </si>
  <si>
    <t>Newbridge Short Stay Secondary School</t>
  </si>
  <si>
    <t>The Aspire Academy - Worcester</t>
  </si>
  <si>
    <t>Perryfields Primary Pupil Referral Unit</t>
  </si>
  <si>
    <t>The Forge Secondary Short Stay School</t>
  </si>
  <si>
    <t>The Beacon Primary Pupil Referral Unit</t>
  </si>
  <si>
    <t>York</t>
  </si>
  <si>
    <t>Danesgate Community</t>
  </si>
  <si>
    <t>2023/24 Funding</t>
  </si>
  <si>
    <t>Banding funding between £0.793m to £1.076m</t>
  </si>
  <si>
    <t>DfE Minimum Funding Guarantee (+3% assessment)</t>
  </si>
  <si>
    <t>2021/22 allocation</t>
  </si>
  <si>
    <t>Excludes the Teachers' Pay and Pension funding previously devolved (£1,303,685 - £53,771)</t>
  </si>
  <si>
    <t>MFG % difference from 2021/22 to 2023/24</t>
  </si>
  <si>
    <t xml:space="preserve">A 3% increase in band values has been applied for 2023/24, which reflects the 3% increase in funding made in-year (2022/23) to support specialist schools increasing costs. </t>
  </si>
  <si>
    <t xml:space="preserve">Staffing and non-staffing block cost refinements includes a 3% increase, which reflects the 3% increase in funding made in-year (2022/23) to support specialist schools increasing costs. </t>
  </si>
  <si>
    <t xml:space="preserve">Local Authorities are required to allocate an amount that is equivalent to 3.4% of the estimated total grant funding of the school. The determination of the total grant value is based on the latest Academy Accounts Return (AAR) published on the Schools Financial Benchmarking (SFB) website as per DfE guidance. This is to support costs in 2023/24. Schools can forecast to see this funding in future years, for financial planning purposes. For 2023/24, Local Authorities must separately identify these allocations, i.e. outside the schools core funding (place and top up).  </t>
  </si>
  <si>
    <t xml:space="preserve">The DfE Minimum Funding Guarantee (MFG) is +3% comparing 2021/22 funding levels to 2023/24. This is to be based on a like-for-like comparison with a specialist school’s overall budget in 2021/22. Using the 2023/24 formula factor values and 2021/22 pupil data, the total budget is required to increase by +3%. The additional 3.4% grant allocation is treated outside of this MFG calculation. This test is passed. </t>
  </si>
  <si>
    <t>Band</t>
  </si>
  <si>
    <t>Staffing Ratio</t>
  </si>
  <si>
    <t>24/25 TA Rate</t>
  </si>
  <si>
    <t>24/25 Teacher Rate</t>
  </si>
  <si>
    <t>24/25 MDS Rate</t>
  </si>
  <si>
    <t>24/25 Band Value</t>
  </si>
  <si>
    <t>24/25 Band Value % Increase</t>
  </si>
  <si>
    <t>Band A</t>
  </si>
  <si>
    <t>6 to 1 Ratio</t>
  </si>
  <si>
    <t>Band B</t>
  </si>
  <si>
    <t>5 to 1 Ratio</t>
  </si>
  <si>
    <t>Band C</t>
  </si>
  <si>
    <t>2.06 to 1 Ratio</t>
  </si>
  <si>
    <t>Band D</t>
  </si>
  <si>
    <t>2 to 1 Ratio</t>
  </si>
  <si>
    <t>Band E</t>
  </si>
  <si>
    <t>Band F</t>
  </si>
  <si>
    <t>Band G</t>
  </si>
  <si>
    <t>1 to 1 Ratio</t>
  </si>
  <si>
    <t>Medical Band 1</t>
  </si>
  <si>
    <t>AP / Medical Band 2</t>
  </si>
  <si>
    <t>2.7 to 1 Ratio</t>
  </si>
  <si>
    <t>MDS: This was previously the cost applied over 10 children, however 8 was applied (amended)</t>
  </si>
  <si>
    <t>MFG - Band Increase (Excl. Teachers' Increase)</t>
  </si>
  <si>
    <t>Pension</t>
  </si>
  <si>
    <t>Band Descriptors</t>
  </si>
  <si>
    <t>Pay</t>
  </si>
  <si>
    <t>Modelling using 2021/22 pay scales</t>
  </si>
  <si>
    <t>Teacher Costs per Pupil</t>
  </si>
  <si>
    <t>TA Costs per Pupil</t>
  </si>
  <si>
    <t>Midday Supervisor Per Pupil</t>
  </si>
  <si>
    <t>Band Values</t>
  </si>
  <si>
    <t>2020/21 Band Value</t>
  </si>
  <si>
    <t>Teacher Increase Per Place</t>
  </si>
  <si>
    <t>ESFA All</t>
  </si>
  <si>
    <t>Diff.</t>
  </si>
  <si>
    <t>Main 4</t>
  </si>
  <si>
    <t>TA12</t>
  </si>
  <si>
    <t>MDS</t>
  </si>
  <si>
    <t>2020/21 comparison</t>
  </si>
  <si>
    <t>Main 5</t>
  </si>
  <si>
    <t>TA9</t>
  </si>
  <si>
    <t>Main 5 (80%)</t>
  </si>
  <si>
    <t>TA12 (80%)</t>
  </si>
  <si>
    <t>2021/22 Comparison</t>
  </si>
  <si>
    <t>Main 5 (60%)</t>
  </si>
  <si>
    <t>TA12 (60%)</t>
  </si>
  <si>
    <t>Overall Increase</t>
  </si>
  <si>
    <t>Excl. Teachers'</t>
  </si>
  <si>
    <t>Main 5 (71%)</t>
  </si>
  <si>
    <t>TA12 (70%)</t>
  </si>
  <si>
    <t>Agreed 22/23 Baseline Band Values</t>
  </si>
  <si>
    <t>22/23 Revised TA Rate</t>
  </si>
  <si>
    <t>22/23 Revised Teacher Rate</t>
  </si>
  <si>
    <t>22/23 Revised MDS Rate</t>
  </si>
  <si>
    <t>22/23 Revised Band Values (Inc 2%)</t>
  </si>
  <si>
    <t>Increase in 22/23 Band Values</t>
  </si>
  <si>
    <t>Before Pension Change</t>
  </si>
  <si>
    <t>Diff. Pension Change</t>
  </si>
  <si>
    <t>A ratio of 2 to 1, requires for every 8 children, 1 Teacher &amp; 3 TAs.</t>
  </si>
  <si>
    <t>A ratio of 5 to 1, requires for every 10 children, 1 Teacher &amp; 1 TA</t>
  </si>
  <si>
    <t>A ratio of 6 to 1, requires for every 12 children, 1 Teacher &amp; 1 TA.</t>
  </si>
  <si>
    <t>2.5 to 1 Ratio</t>
  </si>
  <si>
    <t>A ratio of 2.5 to 1, requires for every 10 children, 1 Teacher &amp; 3 TAs.</t>
  </si>
  <si>
    <t>Band C - Additionality</t>
  </si>
  <si>
    <t xml:space="preserve">Supplement factor to be applied to take into account the further access to programmes offered by schools </t>
  </si>
  <si>
    <t>Or we could mock up 80% of TA differential to be in the band.</t>
  </si>
  <si>
    <t>A ratio of 2 to 1, requires for every 6 children, 1 Teacher &amp; 2 TAs.</t>
  </si>
  <si>
    <t>A ratio of 1 to 1</t>
  </si>
  <si>
    <t>Or Band G</t>
  </si>
  <si>
    <t>A ratio of 2.7 to 1, requires for every 8 children, 1 Teacher &amp; 2 TAs.</t>
  </si>
  <si>
    <t>Band C (New)</t>
  </si>
  <si>
    <t>A ratio of 2.06 to 1, requires for every 8 children, 1 Teacher &amp; 2.89 TAs.</t>
  </si>
  <si>
    <t>A ratio of 4 to 1, requires for every 8 children, 1 Teacher &amp; 1 TAs.</t>
  </si>
  <si>
    <t>TA Per Place</t>
  </si>
  <si>
    <t>Total - Class</t>
  </si>
  <si>
    <t>TA</t>
  </si>
  <si>
    <t>ISOS Partnership - Research into local alternative provision arrangements (December 2018)</t>
  </si>
  <si>
    <t>Summary</t>
  </si>
  <si>
    <t>Different models: centralised (Lincolnshire model), and devolved (i.e. partnerships).</t>
  </si>
  <si>
    <t>Based on number of places 327 and 99,174 pupil numbers, the AP places per 10,000 is c.33, which is higher than the national average (31), and East Midlands's (23.5)</t>
  </si>
  <si>
    <t>Nationally, considering just the centralised model (Lincolnshire comparison), the average is 37 per 10,000.</t>
  </si>
  <si>
    <t>The centralised model average costs are: primary £19,500; KS3 £18,700, and KS4 £17,900. Average across the mix is £18,700. Allow for 2% increase annually for 3 year = £19,845 (noting teachers' increases to build in +£713). c.£20,500. Compares to current rate.</t>
  </si>
  <si>
    <t>Average cost of AP place (PRU, Academy &amp; Free School), nationally the average cost is £18,000.</t>
  </si>
  <si>
    <t>Average cost of AP place (PRU, Academy &amp; Free School) through a centralised model is £18,000.</t>
  </si>
  <si>
    <t>Section 251 Benchmarking - Budget Statement</t>
  </si>
  <si>
    <t>Need to look at DfE website</t>
  </si>
  <si>
    <t>Information sought from other Local Authorities on Alternative Provision arrangements</t>
  </si>
  <si>
    <t>Rates are above in addition to £10,000 place value</t>
  </si>
  <si>
    <t>2019/20</t>
  </si>
  <si>
    <t>2020/21</t>
  </si>
  <si>
    <t>North East Lincs</t>
  </si>
  <si>
    <t>Wellspring</t>
  </si>
  <si>
    <t>The agreed 3% more or less reflects 2% public sector pay uplift (to cover expected increase in staffing/pension costs) and an additional 1% for likely inflationary uplift on other / general costs. For financial stability reasons we agreed a few years ago not to adjust the funding for the PRU during the year recognising that pupils numbers would fluctuate significantly throughout the year. This was a compromised solution to address the issue of the low level of top up funding provided. As a result we don’t measure attendance for funding adjustment purposes.</t>
  </si>
  <si>
    <t>3 DfE registrations over 9 sites with current top ups ranging from £2.3k to £21.8k, total provision circa £4.6m – 282 places (delegated). This is an average top up of £16,312. Reviewing the current formula and anticipate this to rise to £8,000 top up per place.</t>
  </si>
  <si>
    <t>The Primary PRU has 36 places - Average cost £13,201 top up.</t>
  </si>
  <si>
    <t>Derby Pride is a secondary Free School Academy PRU in the city (60 places).  The Element 1 /2 place funding is deducted from our DSG.  As part of our In Year Fair Access agreement, Derby Pride charge Derby City and the schools either £11,700, £14,040 or £20,000 per place pa (Element 3 top up).  Funding follows the child at Derby Pride, so we always pay from the start date to the leaving day. Average £15,246</t>
  </si>
  <si>
    <t>For secondary we have 5 area partnerships that make all our secondary provision for bot pupils at risk of exclusion and those excluded. We devolve just over £2m funding using a formula based on pupil numbers and free school meal eligibility. For our primary provision and fund our primary PRU at £26k per place for 30 places.</t>
  </si>
  <si>
    <t>Other Wellspring Arrangements (top up rates)</t>
  </si>
  <si>
    <t>Source</t>
  </si>
  <si>
    <t>Provision</t>
  </si>
  <si>
    <t>Places</t>
  </si>
  <si>
    <t>2018/19 AY</t>
  </si>
  <si>
    <t>2019/20 AY</t>
  </si>
  <si>
    <t>2020/21 AY</t>
  </si>
  <si>
    <t>Leeds City Council</t>
  </si>
  <si>
    <t>SEMH</t>
  </si>
  <si>
    <t>Moving funding to a per pupil rate has been difficult to progress. MFG has been amended. The agreed rates were negotiated following meetings with Wellspring and the ESFA.</t>
  </si>
  <si>
    <t>Core</t>
  </si>
  <si>
    <t>Enhanced</t>
  </si>
  <si>
    <t>Kirkless</t>
  </si>
  <si>
    <t>85% represents core, and 15% enhanced</t>
  </si>
  <si>
    <t>3.1% increase in the rate</t>
  </si>
  <si>
    <t>SEMH, therefore not directly comparable.</t>
  </si>
  <si>
    <r>
      <t xml:space="preserve">Each Free School has a surplus of £0.098m. Interesting, </t>
    </r>
    <r>
      <rPr>
        <b/>
        <sz val="11"/>
        <color theme="1"/>
        <rFont val="Arial"/>
        <family val="2"/>
        <scheme val="minor"/>
      </rPr>
      <t>£4.709m</t>
    </r>
    <r>
      <rPr>
        <sz val="11"/>
        <color theme="1"/>
        <rFont val="Arial"/>
        <family val="2"/>
        <scheme val="minor"/>
      </rPr>
      <t xml:space="preserve"> held in reserves for the Trust.</t>
    </r>
  </si>
  <si>
    <t>x</t>
  </si>
  <si>
    <t>AP Delivery Entirely (Published)</t>
  </si>
  <si>
    <t>SEMH (63) - example</t>
  </si>
  <si>
    <t>2021/22 Funding</t>
  </si>
  <si>
    <t>Commissioned Place Value (SEMH)</t>
  </si>
  <si>
    <t>Justified top up funding, including additionality of extended day</t>
  </si>
  <si>
    <r>
      <rPr>
        <i/>
        <u/>
        <sz val="11"/>
        <rFont val="Arial"/>
        <family val="2"/>
      </rPr>
      <t>Incorporated into Banded Funding</t>
    </r>
    <r>
      <rPr>
        <i/>
        <sz val="11"/>
        <rFont val="Arial"/>
        <family val="2"/>
      </rPr>
      <t>:</t>
    </r>
  </si>
  <si>
    <t>* Teachers' Pay &amp; Pension Grant</t>
  </si>
  <si>
    <t>* Teaching Assistant cost increase</t>
  </si>
  <si>
    <t>Banded Funding for School Size threshold</t>
  </si>
  <si>
    <t>Total Indicative Place and Top up funding</t>
  </si>
  <si>
    <r>
      <t xml:space="preserve">Rates Funding </t>
    </r>
    <r>
      <rPr>
        <i/>
        <sz val="11"/>
        <rFont val="Arial"/>
        <family val="2"/>
      </rPr>
      <t>(Average - illustration</t>
    </r>
    <r>
      <rPr>
        <sz val="11"/>
        <rFont val="Arial"/>
        <family val="2"/>
      </rPr>
      <t>)</t>
    </r>
  </si>
  <si>
    <t>Overall Place Rate Funding</t>
  </si>
  <si>
    <t>Overall Top up Funding</t>
  </si>
  <si>
    <t>Presentation only Place &amp; Top up funding</t>
  </si>
  <si>
    <t>Place Value Change</t>
  </si>
  <si>
    <t>Overall Funding Change</t>
  </si>
  <si>
    <t>Total Funding (incl SEMH contract)</t>
  </si>
  <si>
    <t>Teachers' Pay &amp; Pension Grant - Validation</t>
  </si>
  <si>
    <t>Per School</t>
  </si>
  <si>
    <t>2020/21 allocation</t>
  </si>
  <si>
    <t>2021/22 allocation greater than 2020/21</t>
  </si>
  <si>
    <t>Existing Funding Across the 4 Schools</t>
  </si>
  <si>
    <t>Place &amp; Top up</t>
  </si>
  <si>
    <t>Teachers' pay &amp; pension grant received</t>
  </si>
  <si>
    <t>Place Funding</t>
  </si>
  <si>
    <t>Grant Additionality (ESFA £557.86pp)</t>
  </si>
  <si>
    <t>Gain in funding compared to the ESFA formula.</t>
  </si>
  <si>
    <t>Place Cost - funded in 2020/21</t>
  </si>
  <si>
    <t>SEMH - top up £5,000 (11 places)</t>
  </si>
  <si>
    <t>Funding Change (Trust) - Monetary Sum</t>
  </si>
  <si>
    <t>Excluding SEMH arrangements</t>
  </si>
  <si>
    <t>Funding Adjustment for New contract</t>
  </si>
  <si>
    <t>11 places: £25,500 - funding Increase</t>
  </si>
  <si>
    <t>Contractually: may need to ask whether they built in teachers' pay &amp; pension increases, if not, £5,000 increase is okay, otherwise an adjustment downwards (£25,500 - £20,693) = £4,807</t>
  </si>
  <si>
    <t>Revised Funding Level</t>
  </si>
  <si>
    <t>If an SEMH place is taken on - additionality</t>
  </si>
  <si>
    <t>18 places converted</t>
  </si>
  <si>
    <t>In theory the top up rates would be (before the additionality staff):</t>
  </si>
  <si>
    <t>AP place top up</t>
  </si>
  <si>
    <t>SEMH top up</t>
  </si>
  <si>
    <t>In time pastoral and central staff would cease being an SEMH school</t>
  </si>
  <si>
    <t>Funding Difference Explanation</t>
  </si>
  <si>
    <r>
      <t xml:space="preserve">The Leadership team for each school as a School Size 4 is a cost of </t>
    </r>
    <r>
      <rPr>
        <b/>
        <sz val="11"/>
        <rFont val="Arial"/>
        <family val="2"/>
      </rPr>
      <t>£179,642</t>
    </r>
    <r>
      <rPr>
        <sz val="11"/>
        <rFont val="Arial"/>
        <family val="2"/>
      </rPr>
      <t xml:space="preserve"> modelled as L18, L5 and 0.5 L3. Wellspring structure </t>
    </r>
    <r>
      <rPr>
        <u/>
        <sz val="11"/>
        <rFont val="Arial"/>
        <family val="2"/>
      </rPr>
      <t>per school</t>
    </r>
    <r>
      <rPr>
        <sz val="11"/>
        <rFont val="Arial"/>
        <family val="2"/>
      </rPr>
      <t xml:space="preserve"> is a 0.5 FTE Executive Principal (c.L24); 0.5 FTE Executive Vice Principal (c.L12); Head of School (L10), Deputy Head (L5) and 0.125 FTE Senior Executive Principal (L43). Using the current pay scales, this equates to: </t>
    </r>
    <r>
      <rPr>
        <b/>
        <sz val="11"/>
        <rFont val="Arial"/>
        <family val="2"/>
      </rPr>
      <t>£241,960</t>
    </r>
    <r>
      <rPr>
        <sz val="11"/>
        <rFont val="Arial"/>
        <family val="2"/>
      </rPr>
      <t xml:space="preserve"> - a difference of </t>
    </r>
    <r>
      <rPr>
        <b/>
        <sz val="11"/>
        <rFont val="Arial"/>
        <family val="2"/>
      </rPr>
      <t>£62,318 per school</t>
    </r>
    <r>
      <rPr>
        <sz val="11"/>
        <rFont val="Arial"/>
        <family val="2"/>
      </rPr>
      <t xml:space="preserve">. </t>
    </r>
    <r>
      <rPr>
        <sz val="11"/>
        <color rgb="FFFF0000"/>
        <rFont val="Arial"/>
        <family val="2"/>
      </rPr>
      <t>Do we consider this reasonable?</t>
    </r>
  </si>
  <si>
    <r>
      <t xml:space="preserve">Educational Learning Resources £50,000 per site. </t>
    </r>
    <r>
      <rPr>
        <sz val="11"/>
        <color rgb="FFFF0000"/>
        <rFont val="Arial"/>
        <family val="2"/>
      </rPr>
      <t>Would we consider this to be a greater sum for AP from special?</t>
    </r>
  </si>
  <si>
    <r>
      <t xml:space="preserve">Mileage costs overall of £40,000 (based on the HMRC rate this equates to 88,889 miles across the year). </t>
    </r>
    <r>
      <rPr>
        <sz val="11"/>
        <color rgb="FFFF0000"/>
        <rFont val="Arial"/>
        <family val="2"/>
      </rPr>
      <t>This should be met from synergies of Trust arrangements. Included travel for central staff and those working cross-sites</t>
    </r>
  </si>
  <si>
    <t>* Funding adjustments for top up will continue to be considered in the Summer term when considering top up reductions for that specific academic year.</t>
  </si>
  <si>
    <t>Do we still want this in place? This provides extra security for the Trust, that other LAs may not apply.</t>
  </si>
  <si>
    <t xml:space="preserve">* Funding for PRUs, AP academies and AP free schools requires the identification of places. We have not defined a place in the regulations, but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</si>
  <si>
    <t xml:space="preserve">* Teachers' Pay Grant and Pension Grant are in addition to this funding. </t>
  </si>
  <si>
    <t>* Pupil Premium funding will follow the pupil for permanent exclusions (£84,443).</t>
  </si>
  <si>
    <t>* Other grants allocated to school based on eligibility.</t>
  </si>
  <si>
    <t>Actions</t>
  </si>
  <si>
    <t>Funding formula to be linked to the MoU to influence behaviour.</t>
  </si>
  <si>
    <t>Incentive for successes or reduction of rates for poor outcomes - depending on outcomes of strategy meetings</t>
  </si>
  <si>
    <t>**</t>
  </si>
  <si>
    <t>Assumption that schools are not charged for placements</t>
  </si>
  <si>
    <t>Source: Springwell</t>
  </si>
  <si>
    <t>School</t>
  </si>
  <si>
    <t>Local Authority</t>
  </si>
  <si>
    <t>Total Amount</t>
  </si>
  <si>
    <t>Mandatory Rates Relief</t>
  </si>
  <si>
    <t>Total Payment</t>
  </si>
  <si>
    <t>Springwell Alternative Academy Lincoln               </t>
  </si>
  <si>
    <t>City of Lincoln Council</t>
  </si>
  <si>
    <t>South Kesteven District Council</t>
  </si>
  <si>
    <t>East Lindsey District Council</t>
  </si>
  <si>
    <t>South Holland District Council</t>
  </si>
  <si>
    <t>MoU to accompany the funding formula</t>
  </si>
  <si>
    <t xml:space="preserve">To consider the 'core offer' that has </t>
  </si>
  <si>
    <t>• Attached is a schedule from the Pupil Integration team on possible Key Performance Indicators to build into the funding agreement for consideration? A Memorandum of Understanding can come from this.</t>
  </si>
  <si>
    <t>Springwell Lincolnshire Delivery Model</t>
  </si>
  <si>
    <t>RED Notes: LA comparison to submitted budget information</t>
  </si>
  <si>
    <t>Central Team</t>
  </si>
  <si>
    <t>North</t>
  </si>
  <si>
    <t>South</t>
  </si>
  <si>
    <t>MP Notes:</t>
  </si>
  <si>
    <t>No additions to be made to the agreed funding formula. Costs to be met from within existing budget</t>
  </si>
  <si>
    <t>Inconsistencies in the Care Teams compared to North (3 x 2) and South (4 x 2) - why?</t>
  </si>
  <si>
    <t>Senior Executive Principal (0.5 FTE)</t>
  </si>
  <si>
    <t>Executive Principal (L23)</t>
  </si>
  <si>
    <t>L24</t>
  </si>
  <si>
    <t>Executive Principal (L24)</t>
  </si>
  <si>
    <t>L25</t>
  </si>
  <si>
    <t>Strategic Project Manager</t>
  </si>
  <si>
    <t>Executive Vice Principal (L12)</t>
  </si>
  <si>
    <t>L15</t>
  </si>
  <si>
    <t>Estates Manager</t>
  </si>
  <si>
    <t>Lincoln has 1 additional TA2 intervention and 1 additional TA1 - greater need of cohort?</t>
  </si>
  <si>
    <t>Admin Officer 22.5</t>
  </si>
  <si>
    <t>Pastoral Manager</t>
  </si>
  <si>
    <t>SCP 24 0.91</t>
  </si>
  <si>
    <r>
      <t xml:space="preserve">Pastoral TA2 - </t>
    </r>
    <r>
      <rPr>
        <sz val="11"/>
        <color rgb="FFFF0000"/>
        <rFont val="Arial"/>
        <family val="2"/>
        <scheme val="minor"/>
      </rPr>
      <t>L</t>
    </r>
  </si>
  <si>
    <r>
      <t>Pastoral TA2 -</t>
    </r>
    <r>
      <rPr>
        <sz val="11"/>
        <color rgb="FFFF0000"/>
        <rFont val="Arial"/>
        <family val="2"/>
        <scheme val="minor"/>
      </rPr>
      <t xml:space="preserve"> S</t>
    </r>
  </si>
  <si>
    <t>Project Officer</t>
  </si>
  <si>
    <r>
      <t>Pastoral TA2 -</t>
    </r>
    <r>
      <rPr>
        <sz val="11"/>
        <color rgb="FFFF0000"/>
        <rFont val="Arial"/>
        <family val="2"/>
        <scheme val="minor"/>
      </rPr>
      <t xml:space="preserve"> L</t>
    </r>
  </si>
  <si>
    <t>7 teachers in each school, therefore assume Deputy Head will be teaching. PPA must be covered by HLTA or Head.</t>
  </si>
  <si>
    <t>Admin Officer 37</t>
  </si>
  <si>
    <t>Agreed Addition</t>
  </si>
  <si>
    <r>
      <t xml:space="preserve">Pastoral TA2 - </t>
    </r>
    <r>
      <rPr>
        <sz val="11"/>
        <color rgb="FFFF0000"/>
        <rFont val="Arial"/>
        <family val="2"/>
        <scheme val="minor"/>
      </rPr>
      <t>M</t>
    </r>
  </si>
  <si>
    <r>
      <t xml:space="preserve">Pastoral TA2 - </t>
    </r>
    <r>
      <rPr>
        <sz val="11"/>
        <color rgb="FFFF0000"/>
        <rFont val="Arial"/>
        <family val="2"/>
        <scheme val="minor"/>
      </rPr>
      <t>G</t>
    </r>
  </si>
  <si>
    <t>Pastoral Manager- Intervention (21)</t>
  </si>
  <si>
    <t>Duplicate</t>
  </si>
  <si>
    <r>
      <t xml:space="preserve">Pastoral TA1 - </t>
    </r>
    <r>
      <rPr>
        <sz val="11"/>
        <color rgb="FFFF0000"/>
        <rFont val="Arial"/>
        <family val="2"/>
        <scheme val="minor"/>
      </rPr>
      <t>M</t>
    </r>
  </si>
  <si>
    <t>TA2</t>
  </si>
  <si>
    <t>Care Team Manager</t>
  </si>
  <si>
    <t>SCP 22 0.91</t>
  </si>
  <si>
    <t>Lincoln Central Team to be excluded. N/A</t>
  </si>
  <si>
    <t>Care Team TA2</t>
  </si>
  <si>
    <t>Louth</t>
  </si>
  <si>
    <t>Spalding</t>
  </si>
  <si>
    <t>Central staff management / support to be managed within existing resource, presumably charged through the Trust's management fee of 5% pcm.</t>
  </si>
  <si>
    <t>Lincoln City</t>
  </si>
  <si>
    <t>Mablethorpe</t>
  </si>
  <si>
    <t>Teacher</t>
  </si>
  <si>
    <t>To be omitted from funding formula - not part of the 4 main delivery sites</t>
  </si>
  <si>
    <t>Grantham</t>
  </si>
  <si>
    <t>Pastoral Manager (Central) - same grade (8) as the North &amp; South Pastoral Managers: is this duplication / excessive?</t>
  </si>
  <si>
    <t>Lincoln</t>
  </si>
  <si>
    <t>Head of School (L9)</t>
  </si>
  <si>
    <t>L10</t>
  </si>
  <si>
    <t>Head of School (L8)</t>
  </si>
  <si>
    <t>L9</t>
  </si>
  <si>
    <t>Head of School (L11)</t>
  </si>
  <si>
    <t>Deputy Head (L5)</t>
  </si>
  <si>
    <t>Deputy Head (L2)</t>
  </si>
  <si>
    <t>Deputy Head (L4)</t>
  </si>
  <si>
    <t>L5</t>
  </si>
  <si>
    <t>Deputy Head (L3)</t>
  </si>
  <si>
    <t>No Budget</t>
  </si>
  <si>
    <t>4 UPS</t>
  </si>
  <si>
    <t>3 UPS</t>
  </si>
  <si>
    <t>HLTA</t>
  </si>
  <si>
    <t>SCP 16</t>
  </si>
  <si>
    <t>TA2 - Intervention</t>
  </si>
  <si>
    <t>TA1</t>
  </si>
  <si>
    <t>Senior Admin</t>
  </si>
  <si>
    <t>Admin</t>
  </si>
  <si>
    <t>Explanation of Roles</t>
  </si>
  <si>
    <r>
      <rPr>
        <b/>
        <sz val="11"/>
        <color theme="1"/>
        <rFont val="Arial"/>
        <family val="2"/>
        <scheme val="minor"/>
      </rPr>
      <t>Care Team</t>
    </r>
    <r>
      <rPr>
        <sz val="11"/>
        <color theme="1"/>
        <rFont val="Arial"/>
        <family val="2"/>
        <scheme val="minor"/>
      </rPr>
      <t xml:space="preserve"> support all young people, who require proactive intervention in order to meet the young persons’ needs e.g. providing sensory breaks, or intervention bespoke to the young person to prevent them going into crisis. The Team also support young people, when they have hit crisis and an additional adult(s) is required within the classroom or within a safe space, with the aim to deescalate, repair (post incident learning, restorative practice) and return to learning. The Care team are responsible for Positive Handling Plans, risk assessments and supporting staff with behaviour management and use of therapeutic language. The Care Team are each school designated first aiders and support with administration of medication.  
The Care team support offsite visits to ensure safety of pupils outside of centre, in a public environment, where staff to pupil ratios must be higher due to the level of risk.</t>
    </r>
  </si>
  <si>
    <r>
      <t xml:space="preserve">These Care Staff are essentially part of the classroom support, therefore they would need to factored into the classroom staffing ratio. 
This would mean that there are TA2 covered across each of the 8 classrooms in each school, along with a TA1. Having TA2 support explains the high level support to these pupils in de-escalation and restorative practice, to enable step down back to mainstream where possible.
</t>
    </r>
    <r>
      <rPr>
        <b/>
        <sz val="11"/>
        <color rgb="FFFF0000"/>
        <rFont val="Arial"/>
        <family val="2"/>
        <scheme val="minor"/>
      </rPr>
      <t>Classroom ratio over 8 classes for 8 children in each: 1 teacher and 2 TAs (either care or intervention) using the agreed costs assigned to the special schools formula</t>
    </r>
    <r>
      <rPr>
        <sz val="11"/>
        <color rgb="FFFF0000"/>
        <rFont val="Arial"/>
        <family val="2"/>
        <scheme val="minor"/>
      </rPr>
      <t>.</t>
    </r>
  </si>
  <si>
    <t>3 central Staff County Wide</t>
  </si>
  <si>
    <t>Mileage 4,000 per year</t>
  </si>
  <si>
    <t>4 staff having 2 school management</t>
  </si>
  <si>
    <t>Mileage 6,000 per year (increased regularity)</t>
  </si>
  <si>
    <t>2021/22</t>
  </si>
  <si>
    <t>2022/23</t>
  </si>
  <si>
    <t>2024/25</t>
  </si>
  <si>
    <r>
      <rPr>
        <b/>
        <sz val="11"/>
        <color theme="1"/>
        <rFont val="Arial"/>
        <family val="2"/>
        <scheme val="minor"/>
      </rPr>
      <t>Pastoral cover</t>
    </r>
    <r>
      <rPr>
        <sz val="11"/>
        <color theme="1"/>
        <rFont val="Arial"/>
        <family val="2"/>
        <scheme val="minor"/>
      </rPr>
      <t xml:space="preserve"> all our safeguarding meetings (TAC and CPs), plus other multi agency meetings and partnership work. They carryout home visits, parenting support, safe and well checks and attendance visits. They cover admissions and support reintegration into mainstream or special, often facilitating and supporting parents with visits. The Pastoral team also complete Early Help Assessments to ensure pupils and families can access the appropriate early intervention. </t>
    </r>
  </si>
  <si>
    <t xml:space="preserve">This a key role in the wrap around support and re-integration back into mainstream. It will be important to understand the following factors: (a) does the LA through it's MoU need to establish the expectations of this group of staff, (b) how it links in the  LA services, (c) whether the resource is reasonable within the AP (2 staff at each site, plus a pastoral manager for N &amp; S). This appears to be comprehensive. 
Consider this to be a separate funding mechanism out of the place and top up: why? funding is clearly defined, making the AP accountable for this activity, easy to separate if the LA wanted to takeover more of this activity. </t>
  </si>
  <si>
    <t xml:space="preserve">Pastoral Manager Grade 8 SCP24 </t>
  </si>
  <si>
    <t>More than 5 yrs (equated)</t>
  </si>
  <si>
    <t>Pastoral TA2 SCP15</t>
  </si>
  <si>
    <t>Less than 5 yrs</t>
  </si>
  <si>
    <t>Pastoral TA2 SCP12 (60%)</t>
  </si>
  <si>
    <r>
      <rPr>
        <u/>
        <sz val="11"/>
        <color theme="1"/>
        <rFont val="Arial"/>
        <family val="2"/>
        <scheme val="minor"/>
      </rPr>
      <t>Agreed Exceptions</t>
    </r>
    <r>
      <rPr>
        <sz val="11"/>
        <color theme="1"/>
        <rFont val="Arial"/>
        <family val="2"/>
        <scheme val="minor"/>
      </rPr>
      <t xml:space="preserve"> (HS):</t>
    </r>
  </si>
  <si>
    <t>Grade</t>
  </si>
  <si>
    <t>Working Weeks</t>
  </si>
  <si>
    <t>Working Hours</t>
  </si>
  <si>
    <t>Should these be common with the SEMH schools, if it is applied to the AP - Consistency?</t>
  </si>
  <si>
    <t>Grade 9 SCP 25</t>
  </si>
  <si>
    <t>Job Description: Exams Officer (grade 4). Including Data and representing the full cohort of 252 pupils. Need to understand the role - budget for grade 8.</t>
  </si>
  <si>
    <t>Data and Exams Manager - Grade 8 (SCP24) - full time, term time only</t>
  </si>
  <si>
    <t>More than 5 yrs</t>
  </si>
  <si>
    <t>Grade 8/9 SCP 24</t>
  </si>
  <si>
    <t>Job Description: Attendance Officer in a school (grade 3), which is a significant difference (may be greater requirements / skills required in an AP across the 4 locations, pupil movements etc. Budget for grade 8.</t>
  </si>
  <si>
    <t>Attendance Officer - Grade 8 (SCP24) - full time, term time only</t>
  </si>
  <si>
    <t>Grade 5 SCP13</t>
  </si>
  <si>
    <t>Don not know the full scope of this role, but can recognise that preparation for KS4 pupils to access training and education is important, including supporting preparation for meeting mainstream schools.</t>
  </si>
  <si>
    <t>Neet Prevention Mentor - Grade 5 (SCP15) - full time, term time only</t>
  </si>
  <si>
    <t>Central admin Support</t>
  </si>
  <si>
    <t>Grade 3 SCP8</t>
  </si>
  <si>
    <t>To support the central staffs delivery.</t>
  </si>
  <si>
    <t>Admin officer - Grade 3 (SCP8) - full time - term time</t>
  </si>
  <si>
    <t>Less than 5 years</t>
  </si>
  <si>
    <t xml:space="preserve">Need to consider reasonableness of working weeks: schools staff are funded on Equated Pay is 0.85 (under) or 0.87 (over) 5 years service </t>
  </si>
  <si>
    <t>North Model</t>
  </si>
  <si>
    <t>Less than 5 years 195 / 229</t>
  </si>
  <si>
    <t>South Model</t>
  </si>
  <si>
    <t>More than 5 years 195 / 224</t>
  </si>
  <si>
    <t>Central Charge - Trust</t>
  </si>
  <si>
    <t>Excl: surplus staff</t>
  </si>
  <si>
    <t>TEACHING ASSISTANT SCALES - UNDER 5 YEARS SERVICE</t>
  </si>
  <si>
    <t>Box 1.</t>
  </si>
  <si>
    <t>LCC APT&amp;C SALARY SCALES 2023-24</t>
  </si>
  <si>
    <t>Box 2.</t>
  </si>
  <si>
    <t>THESE SALARY SCALES INCLUDE:</t>
  </si>
  <si>
    <t>NATIONAL INSURANCE RATES AS FROM 01/04/2023</t>
  </si>
  <si>
    <t xml:space="preserve"> </t>
  </si>
  <si>
    <t>SUPERANNUATION RATE 24.1% AS FROM 01/04/2023</t>
  </si>
  <si>
    <t>PAY INCREASES FROM 01/04/2023</t>
  </si>
  <si>
    <t>STANDARD EQUATION CODES FOR UNDER 5 YEARS SERVICE</t>
  </si>
  <si>
    <t>Box 3.</t>
  </si>
  <si>
    <t>SALARY RANGE</t>
  </si>
  <si>
    <t>NI RATES (W.E.F. 01/04/2023)</t>
  </si>
  <si>
    <t xml:space="preserve"> SUPER = 24.1% (W.E.F. 01/04/2023)</t>
  </si>
  <si>
    <t>Box 4.</t>
  </si>
  <si>
    <t>NI</t>
  </si>
  <si>
    <t>NIL</t>
  </si>
  <si>
    <t>AND ABOVE</t>
  </si>
  <si>
    <t>@</t>
  </si>
  <si>
    <t>%</t>
  </si>
  <si>
    <t>LEL</t>
  </si>
  <si>
    <t>ST</t>
  </si>
  <si>
    <t>UEL</t>
  </si>
  <si>
    <t>Box 5.</t>
  </si>
  <si>
    <t>Contracted Out</t>
  </si>
  <si>
    <t>Not Contracted Out</t>
  </si>
  <si>
    <t>SUPER</t>
  </si>
  <si>
    <t>GRADE</t>
  </si>
  <si>
    <t>S.C.P.</t>
  </si>
  <si>
    <t>SALARY</t>
  </si>
  <si>
    <t>N.I.</t>
  </si>
  <si>
    <t>TOTAL</t>
  </si>
  <si>
    <t xml:space="preserve">  I</t>
  </si>
  <si>
    <t>TA Grade G3</t>
  </si>
  <si>
    <t>LEL - The Lower Earning Limit</t>
  </si>
  <si>
    <t xml:space="preserve">  I  6 - 9</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</si>
  <si>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</si>
  <si>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</si>
  <si>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</si>
  <si>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TA Grade G5</t>
  </si>
  <si>
    <t xml:space="preserve">  I  12 - 15</t>
  </si>
  <si>
    <t>ST - The Secondary Threshold (sometimes called the Secondary Earnings Threshold)</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</si>
  <si>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(13.80%)</t>
    </r>
  </si>
  <si>
    <t>TA Grade G6</t>
  </si>
  <si>
    <t>UEL - The Upper Earnings Limit</t>
  </si>
  <si>
    <t xml:space="preserve">  I Advanced</t>
  </si>
  <si>
    <t>For high earners who are paid over the Upper Earnings Limit, the National Insurance rate falls.earnings.</t>
  </si>
  <si>
    <t xml:space="preserve">  I  14 - 18</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</si>
  <si>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(13.80%) on these </t>
    </r>
  </si>
  <si>
    <t>TA Grade G7</t>
  </si>
  <si>
    <t xml:space="preserve">  I Management</t>
  </si>
  <si>
    <t xml:space="preserve">  I  17 - 21</t>
  </si>
  <si>
    <t>TA Grade G8</t>
  </si>
  <si>
    <t xml:space="preserve">  I HLTA</t>
  </si>
  <si>
    <t xml:space="preserve">  I  20 - 24</t>
  </si>
  <si>
    <t xml:space="preserve">SALARY SCALES </t>
  </si>
  <si>
    <t>LINCOLN</t>
  </si>
  <si>
    <t>LCC APT&amp;C SALARY SCALES 2023/24</t>
  </si>
  <si>
    <t>£1,925 or 3.88% PAY INCREASE FOR ALL SCP for April 23 (3.88% for SCP33 and above)</t>
  </si>
  <si>
    <t>NATIONAL INSURANCE RATES AS FROM 06/11/2022</t>
  </si>
  <si>
    <t>NI RATES (W.E.F 06/11/22)</t>
  </si>
  <si>
    <t>SUPER = 24.1% (W.E.F 01/04/23)</t>
  </si>
  <si>
    <t>BAL @</t>
  </si>
  <si>
    <t xml:space="preserve">       GRADE</t>
  </si>
  <si>
    <t xml:space="preserve">  G1</t>
  </si>
  <si>
    <t>LC01</t>
  </si>
  <si>
    <t>LC02</t>
  </si>
  <si>
    <t>G2</t>
  </si>
  <si>
    <t>LC03</t>
  </si>
  <si>
    <t>LC04</t>
  </si>
  <si>
    <t>LC05</t>
  </si>
  <si>
    <t>G3</t>
  </si>
  <si>
    <t>LC06</t>
  </si>
  <si>
    <t>LC07</t>
  </si>
  <si>
    <t>LC08</t>
  </si>
  <si>
    <t>G4</t>
  </si>
  <si>
    <t>LC09</t>
  </si>
  <si>
    <t>LC10</t>
  </si>
  <si>
    <t>LC11</t>
  </si>
  <si>
    <t>G5</t>
  </si>
  <si>
    <t>LC12</t>
  </si>
  <si>
    <t>LC13</t>
  </si>
  <si>
    <t>LC14</t>
  </si>
  <si>
    <t>LC15</t>
  </si>
  <si>
    <t>LC16</t>
  </si>
  <si>
    <t>LC17</t>
  </si>
  <si>
    <t>G7</t>
  </si>
  <si>
    <t>LC19</t>
  </si>
  <si>
    <t>LC20</t>
  </si>
  <si>
    <t>LC21</t>
  </si>
  <si>
    <t>LC22</t>
  </si>
  <si>
    <t>LC23</t>
  </si>
  <si>
    <t>LC25</t>
  </si>
  <si>
    <t>LC26</t>
  </si>
  <si>
    <t>LC27</t>
  </si>
  <si>
    <t>LC29</t>
  </si>
  <si>
    <t>G11</t>
  </si>
  <si>
    <t>LC31</t>
  </si>
  <si>
    <t>LC32</t>
  </si>
  <si>
    <t>G12</t>
  </si>
  <si>
    <t>LC33</t>
  </si>
  <si>
    <t>LC34</t>
  </si>
  <si>
    <t>LC35</t>
  </si>
  <si>
    <t>G13</t>
  </si>
  <si>
    <t>LC36</t>
  </si>
  <si>
    <t>LC37</t>
  </si>
  <si>
    <t>LC38</t>
  </si>
  <si>
    <t>G14</t>
  </si>
  <si>
    <t>LC39</t>
  </si>
  <si>
    <t>LC40</t>
  </si>
  <si>
    <t>LC41</t>
  </si>
  <si>
    <t>G15</t>
  </si>
  <si>
    <t>LC42</t>
  </si>
  <si>
    <t>LC43</t>
  </si>
  <si>
    <t>LC44</t>
  </si>
  <si>
    <t>G16</t>
  </si>
  <si>
    <t>LC45</t>
  </si>
  <si>
    <t>LC46</t>
  </si>
  <si>
    <t>LC47</t>
  </si>
  <si>
    <t>LC48</t>
  </si>
  <si>
    <t>Springwell Lincolnshire - Current and Proposed Model</t>
  </si>
  <si>
    <t>Current Position</t>
  </si>
  <si>
    <t>Bridge House</t>
  </si>
  <si>
    <t>Baumber</t>
  </si>
  <si>
    <t>Boston</t>
  </si>
  <si>
    <t>Gainsborough</t>
  </si>
  <si>
    <t>New Schools</t>
  </si>
  <si>
    <t>Capacity</t>
  </si>
  <si>
    <t>If Required</t>
  </si>
  <si>
    <r>
      <t xml:space="preserve">Transition - </t>
    </r>
    <r>
      <rPr>
        <sz val="11"/>
        <color theme="1"/>
        <rFont val="Arial"/>
        <family val="2"/>
        <scheme val="minor"/>
      </rPr>
      <t>Transition is not linear ie opening of a new school does not automatically result in the closure of an existing building - pupils may be pulled from various current</t>
    </r>
  </si>
  <si>
    <t>settings.</t>
  </si>
  <si>
    <r>
      <rPr>
        <b/>
        <sz val="11"/>
        <color theme="1"/>
        <rFont val="Arial"/>
        <family val="2"/>
        <scheme val="minor"/>
      </rPr>
      <t>Delivery Model</t>
    </r>
    <r>
      <rPr>
        <sz val="11"/>
        <color theme="1"/>
        <rFont val="Arial"/>
        <family val="2"/>
        <scheme val="minor"/>
      </rPr>
      <t xml:space="preserve"> - Staff recruited to be in place from September 2018. Delay will change deployment of staff and will result in some vacancies being held. Has impact on ability</t>
    </r>
  </si>
  <si>
    <t>to recruit given uncertainty of when will be in new buildings and where they may be deployed in the interim</t>
  </si>
  <si>
    <t>Class Structure</t>
  </si>
  <si>
    <t>Pupil</t>
  </si>
  <si>
    <t>Class</t>
  </si>
  <si>
    <t>The same class structure will apply in each setting</t>
  </si>
  <si>
    <t>Key Stage 1</t>
  </si>
  <si>
    <t>Key Stage 2</t>
  </si>
  <si>
    <t xml:space="preserve">Key Stage 3 </t>
  </si>
  <si>
    <t>Key Stage 4</t>
  </si>
  <si>
    <t>Lincolnshire - 5 Year Budget Plan</t>
  </si>
  <si>
    <t>2018/19</t>
  </si>
  <si>
    <t>£</t>
  </si>
  <si>
    <t>Balance Brought Forward</t>
  </si>
  <si>
    <t>Pupil Income</t>
  </si>
  <si>
    <t>252 x £20,500</t>
  </si>
  <si>
    <t>PPG Income</t>
  </si>
  <si>
    <t>PE and Sports Grant</t>
  </si>
  <si>
    <t>Other Income</t>
  </si>
  <si>
    <t>ESG Protection - Fall Out</t>
  </si>
  <si>
    <t>Sickness Insurance</t>
  </si>
  <si>
    <t>Funding for Lincoln City</t>
  </si>
  <si>
    <t xml:space="preserve">to balance out Lincoln city staff </t>
  </si>
  <si>
    <t xml:space="preserve">DfE Income </t>
  </si>
  <si>
    <t>potential income (DW/CS salaries)</t>
  </si>
  <si>
    <t>Total Income</t>
  </si>
  <si>
    <t>Central Team - Staffing</t>
  </si>
  <si>
    <t>Central Team - Other Costs</t>
  </si>
  <si>
    <t>To run and resource Lincoln City and Baumber</t>
  </si>
  <si>
    <t>Sports Equipment</t>
  </si>
  <si>
    <t>South - Staffing</t>
  </si>
  <si>
    <t>South - CPD</t>
  </si>
  <si>
    <t>South - Sickness Insurance</t>
  </si>
  <si>
    <t>South - IT Educational</t>
  </si>
  <si>
    <t>South - Other S &amp; S Educational</t>
  </si>
  <si>
    <t>South - Other Costs (Non Educational)</t>
  </si>
  <si>
    <t>South - Other Educational</t>
  </si>
  <si>
    <t>North - Staffing</t>
  </si>
  <si>
    <t>North - CPD</t>
  </si>
  <si>
    <t>North - Sickness Insurance</t>
  </si>
  <si>
    <t>North - IT Educational</t>
  </si>
  <si>
    <t>North - Other S &amp; S Educational</t>
  </si>
  <si>
    <t>North - Other Costs (Non Educational)</t>
  </si>
  <si>
    <t>North - Other Costs (Educational)</t>
  </si>
  <si>
    <t>Bridge House AP (2018/19 Only)</t>
  </si>
  <si>
    <t>Management Fee</t>
  </si>
  <si>
    <t>Finance Charge</t>
  </si>
  <si>
    <t>HR / Payroll</t>
  </si>
  <si>
    <t>Loan - 2017/18 Deficit</t>
  </si>
  <si>
    <t>Removed £357,043</t>
  </si>
  <si>
    <t>Total Expenditure</t>
  </si>
  <si>
    <t>In-Year (Deficit) / Surplus</t>
  </si>
  <si>
    <t>Balance Carried Forward</t>
  </si>
  <si>
    <t>Original Band Value</t>
  </si>
  <si>
    <t>Teachers' Pay Grant Addition</t>
  </si>
  <si>
    <t>TA Increase</t>
  </si>
  <si>
    <t>Band 2+</t>
  </si>
  <si>
    <t>Band 1 &amp; 4</t>
  </si>
  <si>
    <t>Band 4+</t>
  </si>
  <si>
    <t>QUALIFIED TEACHERS SALARY SCALES 2020-21</t>
  </si>
  <si>
    <t>Schools</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</si>
  <si>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</si>
  <si>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Please note these figures include the Pay Award from September 2020.</t>
  </si>
  <si>
    <t xml:space="preserve">Please note these Salary Scales include Super rates at 23.68%, which are with effect from 1 September 2019. </t>
  </si>
  <si>
    <t>Box 6.</t>
  </si>
  <si>
    <t>NI RATES (W.E.F 1/4/20)</t>
  </si>
  <si>
    <t xml:space="preserve"> SUPER = 23.68% (W.E.F 1/9/19)</t>
  </si>
  <si>
    <t>Upper</t>
  </si>
  <si>
    <t xml:space="preserve"> Basic Salary(W.E.F. 1 September 2020)</t>
  </si>
  <si>
    <t>Box 7.</t>
  </si>
  <si>
    <t>In Pension Scheme</t>
  </si>
  <si>
    <t>Not In Pension Scheme</t>
  </si>
  <si>
    <t>Salary</t>
  </si>
  <si>
    <t>Super 23.68%</t>
  </si>
  <si>
    <t>PAY SPINE</t>
  </si>
  <si>
    <t xml:space="preserve">LEL - The Lower Earning Limit </t>
  </si>
  <si>
    <t>===========================================================================</t>
  </si>
  <si>
    <t>===============================</t>
  </si>
  <si>
    <t>UPPER PAY</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</si>
  <si>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</si>
  <si>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</si>
  <si>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</si>
  <si>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</si>
  <si>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</si>
  <si>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</si>
  <si>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</si>
  <si>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</si>
  <si>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</si>
  <si>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</si>
  <si>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</si>
  <si>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</si>
  <si>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</si>
  <si>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</si>
  <si>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</si>
  <si>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</si>
  <si>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</si>
  <si>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</si>
  <si>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</si>
  <si>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</si>
  <si>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Selected Rate for special schools (including SEN1 Allowance)</t>
  </si>
  <si>
    <t>Selected Rate for AP (excluding SEN1 Allowance)</t>
  </si>
  <si>
    <t>LCC APT&amp;C SALARY SCALES 2021-22</t>
  </si>
  <si>
    <t>NATIONAL INSURANCE RATES AS FROM 01/04/2021</t>
  </si>
  <si>
    <t>SUPERANNUATION RATE 25.9% AS FROM 01/04/2021</t>
  </si>
  <si>
    <t>NI RATES (W.E.F 01/04/21)</t>
  </si>
  <si>
    <t xml:space="preserve"> SUPER = 25.9% (W.E.F 01/04/21)</t>
  </si>
  <si>
    <t>PT</t>
  </si>
  <si>
    <t>UPPER</t>
  </si>
  <si>
    <t>01</t>
  </si>
  <si>
    <t>LEL -  The Lower Earning Limit</t>
  </si>
  <si>
    <t>02</t>
  </si>
  <si>
    <t>03</t>
  </si>
  <si>
    <t>04</t>
  </si>
  <si>
    <t>05</t>
  </si>
  <si>
    <t>06</t>
  </si>
  <si>
    <t>07</t>
  </si>
  <si>
    <t>08</t>
  </si>
  <si>
    <t>09</t>
  </si>
  <si>
    <t>Pastoral Manager, Pastoral Manager - Interventions</t>
  </si>
  <si>
    <t>Data &amp; Exams Manager, Attendance Officer</t>
  </si>
  <si>
    <t>NEET Prevention Mentor</t>
  </si>
  <si>
    <t>Builds in 2% pay award and 1% pension increase</t>
  </si>
  <si>
    <t>Levy</t>
  </si>
  <si>
    <t>This pay spine is anchored to salary points on the NJC National Pay Spine. The relevant Lincolnshire points which link directly to the NJC National Pay Spine are SCPs 1, 2, 3, 6, 9, 12, 15, 18, 21, 24, 27, 30 &amp; 33.</t>
  </si>
  <si>
    <t>2021-22</t>
  </si>
  <si>
    <t>Sleeping-in Duty Payment =</t>
  </si>
  <si>
    <t>Standby Duty Allowance (Social Workers) =</t>
  </si>
  <si>
    <t>PAY INCREASES FROM 01/04/2020</t>
  </si>
  <si>
    <t>2021/22 - Admin</t>
  </si>
  <si>
    <t>2022/23 Admin: 2% pay award; 1% pension increase</t>
  </si>
  <si>
    <t>TEACHING ASSISTANT SCALES - OVER 5 YEARS SERVICE</t>
  </si>
  <si>
    <t>STANDARD EQUATION CODES FOR OVER 5 YEARS SERVICE</t>
  </si>
  <si>
    <t xml:space="preserve">LEL - The Lower Earning Limit </t>
  </si>
  <si>
    <t xml:space="preserve">  I   6 - 9</t>
  </si>
  <si>
    <t>UEL - The Upper Earnings Limit (or UEL)</t>
  </si>
  <si>
    <t xml:space="preserve">  I  Advanced</t>
  </si>
  <si>
    <t xml:space="preserve">  I  15 - 18</t>
  </si>
  <si>
    <t xml:space="preserve">  I  18 - 21</t>
  </si>
  <si>
    <t xml:space="preserve">  I  21 - 24</t>
  </si>
  <si>
    <t>LCC APT&amp;C SALARY SCALES 2020-21</t>
  </si>
  <si>
    <t>NATIONAL INSURANCE RATES AS FROM 01/04/2020</t>
  </si>
  <si>
    <t>SUPERANNUATION RATE 24.9% AS FROM 01/04/2020</t>
  </si>
  <si>
    <t>PAY INCREASES FROM 01/04/2019</t>
  </si>
  <si>
    <t>NI RATES (W.E.F 01/04/20)</t>
  </si>
  <si>
    <t xml:space="preserve"> SUPER = 24.9% (W.E.F 01/04/20)</t>
  </si>
  <si>
    <t>TA - Pastoral</t>
  </si>
  <si>
    <t>TA Revision</t>
  </si>
  <si>
    <t>60% funded difference between SCP 9 &amp; 12</t>
  </si>
  <si>
    <t>2% Pay Award and 2% pension increase</t>
  </si>
  <si>
    <t>LEADERSHIP GROUP SALARY SCALES 2020-21</t>
  </si>
  <si>
    <t xml:space="preserve">Please note these figures reflect the School Teachers' Pay and Conditions Document (STPCD) released in September 2019. The STPCD now only prescribes pay ranges with minimum and maximum points. You will be aware that schools have discretion to set their own salary scales. The figures below demonstate an implementation of a 1.5% increase across the pay range, following a prudent stategy for financial forecasting.
</t>
  </si>
  <si>
    <t>Please note these figures include Pay Award announced for September 2019.</t>
  </si>
  <si>
    <t>SUPER = 23.68% (W.E.F 1/9/19)</t>
  </si>
  <si>
    <t>Basic Salary (W.E.F. 1 September 2020)</t>
  </si>
  <si>
    <t>L1</t>
  </si>
  <si>
    <t>L2</t>
  </si>
  <si>
    <t>L3</t>
  </si>
  <si>
    <t>L4</t>
  </si>
  <si>
    <t>L6</t>
  </si>
  <si>
    <t>L7</t>
  </si>
  <si>
    <t>PT -The Primary Threshold (sometimes called the Primary Earnings Threshold)</t>
  </si>
  <si>
    <t>L8</t>
  </si>
  <si>
    <t>L11</t>
  </si>
  <si>
    <t>L12</t>
  </si>
  <si>
    <t>L13</t>
  </si>
  <si>
    <t xml:space="preserve">UEL - The Upper Earnings Limit </t>
  </si>
  <si>
    <t>L14</t>
  </si>
  <si>
    <r>
      <t xml:space="preserve">On earnings above this limit, the </t>
    </r>
    <r>
      <rPr>
        <sz val="12"/>
        <color rgb="FFFF0000"/>
        <rFont val="Arial"/>
        <family val="2"/>
      </rPr>
      <t xml:space="preserve">EMPLOYEE </t>
    </r>
    <r>
      <rPr>
        <sz val="12"/>
        <rFont val="Arial"/>
        <family val="2"/>
      </rPr>
      <t xml:space="preserve">pays a lower rate of 2% .The </t>
    </r>
    <r>
      <rPr>
        <sz val="12"/>
        <color rgb="FFFF0000"/>
        <rFont val="Arial"/>
        <family val="2"/>
      </rPr>
      <t>EMPLOYER</t>
    </r>
    <r>
      <rPr>
        <sz val="12"/>
        <rFont val="Arial"/>
        <family val="2"/>
      </rPr>
      <t xml:space="preserve"> continues to pay the standard rate of employer’s National Insurance (13.8%) on these </t>
    </r>
  </si>
  <si>
    <t>L16</t>
  </si>
  <si>
    <t>L17</t>
  </si>
  <si>
    <t>L18</t>
  </si>
  <si>
    <t>L19</t>
  </si>
  <si>
    <t>L20</t>
  </si>
  <si>
    <t>Per School Leadership costs</t>
  </si>
  <si>
    <t>L21</t>
  </si>
  <si>
    <t>L22</t>
  </si>
  <si>
    <t>L23</t>
  </si>
  <si>
    <t>L26</t>
  </si>
  <si>
    <t>L27</t>
  </si>
  <si>
    <t>L28</t>
  </si>
  <si>
    <t>L29</t>
  </si>
  <si>
    <t>L30</t>
  </si>
  <si>
    <t>L31</t>
  </si>
  <si>
    <t>L32</t>
  </si>
  <si>
    <t>L33</t>
  </si>
  <si>
    <t>L34</t>
  </si>
  <si>
    <t>L35</t>
  </si>
  <si>
    <t>L36</t>
  </si>
  <si>
    <t>L37</t>
  </si>
  <si>
    <t>L38</t>
  </si>
  <si>
    <t>L39</t>
  </si>
  <si>
    <t>L40</t>
  </si>
  <si>
    <t>L41</t>
  </si>
  <si>
    <t>L42</t>
  </si>
  <si>
    <t>L43</t>
  </si>
  <si>
    <t>Lincolnshire Special Schools Funding Formula</t>
  </si>
  <si>
    <t>SPECIAL SCHOOLS FUNDING</t>
  </si>
  <si>
    <t>DfE No:</t>
  </si>
  <si>
    <t>Illustrative Funding for 2021/22</t>
  </si>
  <si>
    <t>2020/21 Funding</t>
  </si>
  <si>
    <t>Illustrative 2021/22 Funding</t>
  </si>
  <si>
    <t>Non-staffing Block</t>
  </si>
  <si>
    <t>Banded Funding (A - F)</t>
  </si>
  <si>
    <t>Banded Funding (G)</t>
  </si>
  <si>
    <t>Band C Additionality Banded Funding</t>
  </si>
  <si>
    <t>Free School Meals</t>
  </si>
  <si>
    <t>Minimum Funding Guarantee Allocation</t>
  </si>
  <si>
    <t>Indicative Place and Top up Funding *</t>
  </si>
  <si>
    <t>Indicative Place and Top up Funding</t>
  </si>
  <si>
    <t>Average 2020/21</t>
  </si>
  <si>
    <t>Average 2021/22</t>
  </si>
  <si>
    <t>Other Special Schools Funding Arrangements</t>
  </si>
  <si>
    <t>Site Factor</t>
  </si>
  <si>
    <t>Number on Roll (Place Numbers)</t>
  </si>
  <si>
    <t>PFI Block Allocation</t>
  </si>
  <si>
    <t>Split Site Allocation</t>
  </si>
  <si>
    <t>Monetary MFG Funding adjustment for 2021/22</t>
  </si>
  <si>
    <t>Commissioned Arrangements</t>
  </si>
  <si>
    <t>Portage Funding</t>
  </si>
  <si>
    <t>Outreach Funding</t>
  </si>
  <si>
    <t>Teachers' Pay and Pension Grant</t>
  </si>
  <si>
    <t>Teaching Assistant Increase</t>
  </si>
  <si>
    <t>Residential Funding</t>
  </si>
  <si>
    <t>Funding added into Banded Funding in 2021/22</t>
  </si>
  <si>
    <t>Total Other Special Schools Funding Arrangements</t>
  </si>
  <si>
    <t>Revised Banded Funding - Staffing/Non-Staffing block selection</t>
  </si>
  <si>
    <t>2021/22 Final Indicative Budget Share</t>
  </si>
  <si>
    <t>Staffing and Non-staffing Block</t>
  </si>
  <si>
    <t>Band Descriptor Profile</t>
  </si>
  <si>
    <t>School Percentage Profile</t>
  </si>
  <si>
    <t>Agreed 2021/22 Place Numbers</t>
  </si>
  <si>
    <t>Pre-16: April 21 - August 21</t>
  </si>
  <si>
    <t>Pre-16: September 21 - March 22</t>
  </si>
  <si>
    <t>Post-16: April 21 - July 21</t>
  </si>
  <si>
    <t>Additional Pupils Placed</t>
  </si>
  <si>
    <t>Average Band Value</t>
  </si>
  <si>
    <t>Post-16: August 21 - March 22</t>
  </si>
  <si>
    <t>Commissioned Place Value</t>
  </si>
  <si>
    <t>Special Schools Funding Formula 2021/22</t>
  </si>
  <si>
    <t>Description: further detail provided relating to the principles of the band values</t>
  </si>
  <si>
    <t>Band Descriptor</t>
  </si>
  <si>
    <t>A ratio of 5 to 1, requires for every 10 children, 1 Teacher &amp; 1 TA.</t>
  </si>
  <si>
    <t>A ratio of 1 TA to 1 child.</t>
  </si>
  <si>
    <t>Additionality</t>
  </si>
  <si>
    <t xml:space="preserve">Supplement factor to be applied to take into account the further access to programmes offered by schools. </t>
  </si>
  <si>
    <t>Categories - Staffing and Non-Staffing Blocks</t>
  </si>
  <si>
    <t>Banding Value Categorises (£ up to)</t>
  </si>
  <si>
    <t>School Size 3</t>
  </si>
  <si>
    <t>School Size 3 Transition Point</t>
  </si>
  <si>
    <t>School Size 4 Transition Point</t>
  </si>
  <si>
    <t>School Size 5</t>
  </si>
  <si>
    <t>School Size 5 Transition Point</t>
  </si>
  <si>
    <t>School Size 6</t>
  </si>
  <si>
    <t>School Size 6 Transition Point</t>
  </si>
  <si>
    <t>School Size 7</t>
  </si>
  <si>
    <t>School Size 7 Transition Point</t>
  </si>
  <si>
    <t>School Size 8</t>
  </si>
  <si>
    <t>PFI School Size 3</t>
  </si>
  <si>
    <t>PFI School Size 3 Transition Point</t>
  </si>
  <si>
    <t>PFI School Size 4</t>
  </si>
  <si>
    <t>PFI School Size 4 Transition Point</t>
  </si>
  <si>
    <t>PFI School Size 5</t>
  </si>
  <si>
    <t xml:space="preserve">1. Lincolnshire's special schools 2020/21 funding formula allocations by each formula factor (based on the schools published indicative budget for 2020/21). </t>
  </si>
  <si>
    <t xml:space="preserve">2. The basis of how special schools are to be funded: 
• The funding formula for Lincolnshire special schools was updated for 2018/19. The Local Authority (LA) believe the underlying principles of the formula remain strong and fit for purpose, and therefore have not required a fundamental change.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 Banding funding continues to be categorised between pre-16 &amp; post-16 places. In 2018/19, the band descriptors were reviewed to provide greater clarity of the pupils needs within each category, including being renamed in order of monetary value. The band values were also updated to reflect the revised staffing to pupil ratio's in light of the feedback received from the working group meetings with special school head teachers. The pupil bands have been updated and agreed with schools to reflect those pupils present at the school in November 2020, and therefore included as part of the 2021/22 Education &amp; Skills Funding Agency (ESFA) return. These have then been applied to the indicative 2021/22 budget shares. 
• The ESFA process for agreeing place numbers is based on a lagged funding system due to ESFA timing requirements (namely, using Autumn 2020 data to influence 2021/22 academic year place numbers). The LA has undertaken this process for the 2021/22 academic year place numbers in line with the published DfE high needs guidance. </t>
  </si>
  <si>
    <t>3. Indicative 2021/22 place and top up funding based on Lincolnshire's special schools formula. The format is required to determine whether the school is entitled to a per pupil MFG of protection.</t>
  </si>
  <si>
    <t xml:space="preserve">4. Number on Roll: the Average Number / Places agreed across the financial year that have been agreed with the special school. The 2021/22 indicative funding uses the following place numbers: April 21 - August 21 (AY2020/21 brought forward places) and September 21 - March 22 (AY2021/22 agreed places). </t>
  </si>
  <si>
    <t>5. Monetary MFG Funding adjustment for 2021/22. This value has been adjusted to reflect the MFG entitlements for Bands A - F. This compares the level of MFG funding the school received per band in 2020/21 against what they will receive in 2021/22.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2020/21 and 2021/22, e.g. protection of existing pupils with the same needs still within the school. The LA has increased the band values for teaching assistant costs from 2021/22, and these band increases are deducted from each bands monetary protection (if applicable), before determining the school protection per band. See tab 'MFG'.</t>
  </si>
  <si>
    <t>6. Teachers' Pay and Pension Grant Allocations. This compares the total value of the 2020/21 teachers' pay and pension allocations (that were previously paid separately to the monthly top-up allocations) against the value of the teachers' pay and pension allocation that has now been factored into the special schools funding formula from 2021/22. This has been achieved through increasing the teachers' salary costs by 13.91% within the band value's (as well as increasing the leadership allocations within the staffing block), and will therefore be paid as part of the monthly top-up allocations going forward. The 2021/22 allocation is to be the same level or greater than 2020/21.</t>
  </si>
  <si>
    <t>7. Total banded funding figure to be used for the purposes of the 2021/22 school size calculation. The 2020/21 school size thresholds were set prior to any band value increases for 2021/22. A school size classification should only change when a schools admits a greater number of pupils, and/or has an increased complexity of need in relation to the updated band profile, which is matched to each school size threshold. Therefore, to compare like-for-like between financial years, the teachers' pay and pension increases (as well as the increases gained through increasing the teaching assistant salaries) have been removed from the total banded funding figure for 2021/22 for school size purposes.</t>
  </si>
  <si>
    <t>8. The staffing and non-staffing block special school categories based on a schools overall banding monetary funding (see note 7 &amp; 22).</t>
  </si>
  <si>
    <t xml:space="preserve">9. School Band Descriptor Profile: the schools percentage banding profile across the seven band descriptors. Latest pupil data has been updated to ensure that every pupil who has had a place agreed for the 2021/22 AY, has an associated band attributed to them. </t>
  </si>
  <si>
    <t>10.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any financial disadvantage. The authority will not agree to fund individual additional funding requests for every band G child admitted mid-year.</t>
  </si>
  <si>
    <t xml:space="preserve">11. Indicative Place and Top up Funding: 2021/22 funding inclusive of the MFG allocation (where applicable) based on Lincolnshire's special schools funding formula. The section provides a clear audit trail of how Lincolnshire special schools are funded through the formula factors for 2021/22, before being presented through the DfE's place and top up arrangements (based on the agreed place numbers and overall monetary value).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</si>
  <si>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</si>
  <si>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13 Site Factor - Split Site allocation: where a single school operates over two or more locations and meets the split site policy criteria, schools are entitled to funding which represents the additional costs of operation compared to being on one site.</t>
  </si>
  <si>
    <t>14. Portage (commissioned arrangements): A Memorandum of Understanding is established between the commissioned schools and Local Authority outlining the desired outcomes from this funding. The current agreement runs from September 2020 – August 2021 with a review of the service currently being undertaken by Lincolnshire's Commissioning Team. The indicative funding allocation detailed is for the period April 2021 to August 2021, however the September 2021 to March 2022 funding period is conditional, and subject to the Local Authority decision making process.</t>
  </si>
  <si>
    <t>15. Outreach (commissioned arrangements): The outreach arrangements for physical difficulties and learning difficulties have been awarded, and the schools funding represents this current arrangement. The length of the contract is for the period 1st September 2020 to 31st August 2021. Lincolnshire's Commissioning Team are currently reviewing an extension to the contracts, and therefore the current allocations have only been continued for the period April 2021 - August 2021. Further funding will be allocated mid-year subject to the review outcomes.  The September 2021 to March 2022 funding period is conditional, and subject to the Local Authority decision making process.</t>
  </si>
  <si>
    <t>16. Residential (commissioned arrangements): commissioned funding for residential provision.</t>
  </si>
  <si>
    <t>17. Total Other Special Schools Funding Arrangements: the total funding relating to site factor arrangements and commissioned functions (notes: 12 to 16).</t>
  </si>
  <si>
    <t>18. 2021/22 Final Indicative Budget Share: Indicative 2021/22 funding (11) relating to the main special school formula factors including MFG funding where applicable, plus Other Special School funding Arrangements (17).</t>
  </si>
  <si>
    <t xml:space="preserve">19. Pre-16 Places: agreed number of school places for pre-16 provision. The 2021/22 indicative funding uses the following place numbers: April 21 - August 21 (AY2020/21 brought forward places) and September 21 - March 22 (AY2021/22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</si>
  <si>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20. Post-16 Places: agreed number of school places for post-16 provision. The periods of funding are as follow: April 21 - July 21 (AY2020/21 brought forward places), and August 21 - March 22 (AY2021/22 agreed places). The in-year adjustments process follows the same principle as pre-16 places (see note: 19).</t>
  </si>
  <si>
    <t>21. Special school band descriptors detailing the staffing ratio's and monetary sums that determine a school banding funding and commissioned place value. The band values are based on agreed staffing to pupil ratio's. A separate funding adjustment was made to schools in 2020/21 for the Teacher's Pay Grant and Teacher's Pension increases, and these increases have now been factored into the band values to ensure each school receives a minimum value of what they were allocated in 2020/21 (see note 6). Funding of £1.401m has been distributed across teacher costs when determining 2021/22 pupil band values (13.91% increase in costs), and the staffing block values to reflect adjusted leadership costs for different size schools. Teaching assistant costs have increased by 3.25% when determining pupil band values.</t>
  </si>
  <si>
    <t>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</si>
  <si>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</si>
  <si>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 xml:space="preserve">A 2.53% increase in band values has been applied for 2024/25, which supports the specialist schools increasing staff pay costs. </t>
  </si>
  <si>
    <t>Updated calculation of the 2023/24 3.4% calculation</t>
  </si>
  <si>
    <t>Continuation of DfE High Needs Additional Funding</t>
  </si>
  <si>
    <t>Total Indicative Funding (including DfE Additional Funding)</t>
  </si>
  <si>
    <t>DfE Minimum Funding Guarantee (+0% assessment)</t>
  </si>
  <si>
    <t>Above +0% MFG assessment (based on Places numbers and Type remaining the same as 2023/24)</t>
  </si>
  <si>
    <t xml:space="preserve">The teachers’ pay additional grant (TPAG) DfE methodology of £446 per place in 2024/25, as adopted in 2023/24 from September 2023 (£260). An additional pension grant will be made available from Government for the teachers’ pension grant, which will support the increase in costs by 5% to 28.6% from April 2024.  </t>
  </si>
  <si>
    <t xml:space="preserve">* SEMH agreed places within the 252 AP places are paid in addition to the identified budget. </t>
  </si>
  <si>
    <t>* The overall funding does not take account of the planned re-organisation of the Lincoln Myle Cross site (which will be communicated separately)</t>
  </si>
  <si>
    <t>Basic</t>
  </si>
  <si>
    <t xml:space="preserve">Local Authorities were required to allocate an amount that is equivalent to 3.4% of the estimated total grant funding of the school in 2023/24. The determination of the total grant value is based on the latest Academy Accounts Return (AAR) published on the Schools Financial Benchmarking (SFB) website as per DfE guidance. This is to support costs in 2024/25. Schools can forecast to see this funding in future years, for financial planning purposes, since it is essentially to support core education delivery. For 2024/25, Local Authorities must continue to separate out this funding stream, i.e. outside the schools core funding (place and top up).  </t>
  </si>
  <si>
    <t>Excludes the Teachers' Pay and Pension funding previously devolved (£1,447,205 - £53,771)</t>
  </si>
  <si>
    <t xml:space="preserve">Staffing block refinements have been adjusted for to reflect the latest 2023/24 pay scales. Non-staffing block allocations include a 1.4% increase to all cost drivers (with additional allocations to support changes to energy and broadband allocations). </t>
  </si>
  <si>
    <t xml:space="preserve">The DfE Minimum Funding Guarantee (MFG) is +0% comparing 2023/24 funding levels to 2024/25. This is to be based on a like-for-like comparison with a specialist school’s overall budget in 2023/24. Using the 2024/25 formula factor values and 2023/24 pupil data, the total budget is required to be +0%. The DfE High Needs Additional Funding allocation is treated outside of this MFG calculation. This test is passed. </t>
  </si>
  <si>
    <t xml:space="preserve">2. Funding for PRUs, AP academies and AP free schools requires the identification of places.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</si>
</sst>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8" formatCode="&quot;£&quot;#,##0.00;[Red]\-&quot;£&quot;#,##0.00"/>
    <numFmt numFmtId="44" formatCode="_-&quot;£&quot;* #,##0.00_-;\-&quot;£&quot;* #,##0.00_-;_-&quot;£&quot;* &quot;-&quot;??_-;_-@_-"/>
    <numFmt numFmtId="43" formatCode="_-* #,##0.00_-;\-* #,##0.00_-;_-* &quot;-&quot;??_-;_-@_-"/>
    <numFmt numFmtId="164" formatCode="&quot;£&quot;#,##0.00"/>
    <numFmt numFmtId="165" formatCode="0.0000_)"/>
    <numFmt numFmtId="166" formatCode="0.00_)"/>
    <numFmt numFmtId="167" formatCode="General_)"/>
    <numFmt numFmtId="168" formatCode="0_)"/>
    <numFmt numFmtId="169" formatCode="&quot;£&quot;#,##0"/>
    <numFmt numFmtId="170" formatCode="_(&quot;$&quot;* #,##0.00_);_(&quot;$&quot;* \(#,##0.00\);_(&quot;$&quot;* &quot;-&quot;??_);_(@_)"/>
    <numFmt numFmtId="171" formatCode="0.0"/>
    <numFmt numFmtId="172" formatCode="_-* #,##0_-;\-* #,##0_-;_-* &quot;-&quot;??_-;_-@_-"/>
    <numFmt numFmtId="173" formatCode="0000"/>
    <numFmt numFmtId="174" formatCode="&quot;£&quot;#,##0.0000"/>
    <numFmt numFmtId="175" formatCode="0.0%"/>
    <numFmt numFmtId="176" formatCode="&quot; &quot;[$£-809]* #,##0&quot; &quot;;&quot;-&quot;[$£-809]* #,##0&quot; &quot;;&quot; &quot;[$£-809]* &quot;- &quot;;&quot; &quot;@&quot; &quot;"/>
    <numFmt numFmtId="177" formatCode="&quot; &quot;[$£-809]* #,##0.00&quot; &quot;;&quot;-&quot;[$£-809]* #,##0.00&quot; &quot;;&quot; &quot;[$£-809]* &quot;-&quot;#&quot; &quot;;&quot; &quot;@&quot; &quot;"/>
    <numFmt numFmtId="178" formatCode="&quot; &quot;[$£-809]* #,##0&quot; &quot;;&quot;-&quot;[$£-809]* #,##0&quot; &quot;;&quot; &quot;[$£-809]* &quot;-&quot;#&quot; &quot;;&quot; &quot;@&quot; &quot;"/>
  </numFmts>
  <fonts count="111">
    <font>
      <sz val="11"/>
      <color theme="1"/>
      <name val="Arial"/>
      <family val="2"/>
      <scheme val="minor"/>
    </font>
    <font>
      <sz val="11"/>
      <color theme="1"/>
      <name val="Arial"/>
      <family val="1"/>
      <scheme val="major"/>
    </font>
    <font>
      <b/>
      <sz val="11"/>
      <color theme="1"/>
      <name val="Arial"/>
      <family val="1"/>
      <scheme val="major"/>
    </font>
    <font>
      <u/>
      <sz val="11"/>
      <color theme="10"/>
      <name val="Arial"/>
      <family val="2"/>
      <scheme val="minor"/>
    </font>
    <font>
      <sz val="11"/>
      <color theme="1"/>
      <name val="Arial"/>
      <family val="2"/>
      <scheme val="minor"/>
    </font>
    <font>
      <sz val="11"/>
      <name val="Calibri"/>
      <family val="2"/>
    </font>
    <font>
      <b/>
      <sz val="11"/>
      <color theme="1"/>
      <name val="Arial"/>
      <family val="2"/>
      <scheme val="major"/>
    </font>
    <font>
      <sz val="10"/>
      <color theme="1"/>
      <name val="Arial"/>
      <family val="2"/>
    </font>
    <font>
      <b/>
      <sz val="18"/>
      <name val="Arial"/>
      <family val="2"/>
    </font>
    <font>
      <sz val="12"/>
      <name val="Arial"/>
      <family val="2"/>
    </font>
    <font>
      <sz val="12"/>
      <color indexed="50"/>
      <name val="Arial"/>
      <family val="2"/>
    </font>
    <font>
      <i/>
      <sz val="16"/>
      <name val="Arial"/>
      <family val="2"/>
    </font>
    <font>
      <sz val="12"/>
      <color indexed="13"/>
      <name val="Arial"/>
      <family val="2"/>
    </font>
    <font>
      <b/>
      <sz val="16"/>
      <name val="Arial Black"/>
      <family val="2"/>
    </font>
    <font>
      <b/>
      <sz val="12"/>
      <name val="Arial Black"/>
      <family val="2"/>
    </font>
    <font>
      <sz val="12"/>
      <name val="Arial Black"/>
      <family val="2"/>
    </font>
    <font>
      <b/>
      <sz val="12"/>
      <name val="Arial"/>
      <family val="2"/>
    </font>
    <font>
      <sz val="8"/>
      <name val="Arial Black"/>
      <family val="2"/>
    </font>
    <font>
      <sz val="10"/>
      <name val="Arial Black"/>
      <family val="2"/>
    </font>
    <font>
      <b/>
      <sz val="10"/>
      <name val="Arial Black"/>
      <family val="2"/>
    </font>
    <font>
      <sz val="12"/>
      <color indexed="10"/>
      <name val="Arial"/>
      <family val="2"/>
    </font>
    <font>
      <sz val="12"/>
      <color rgb="FFFF0000"/>
      <name val="Arial"/>
      <family val="2"/>
    </font>
    <font>
      <i/>
      <sz val="12"/>
      <name val="Arial"/>
      <family val="2"/>
    </font>
    <font>
      <sz val="10"/>
      <name val="Courier"/>
      <family val="3"/>
    </font>
    <font>
      <sz val="10"/>
      <name val="Arial"/>
      <family val="2"/>
    </font>
    <font>
      <sz val="11"/>
      <name val="Arial"/>
      <family val="2"/>
      <scheme val="minor"/>
    </font>
    <font>
      <sz val="11"/>
      <color theme="1"/>
      <name val="Arial"/>
      <family val="2"/>
      <scheme val="major"/>
    </font>
    <font>
      <b/>
      <sz val="9"/>
      <color indexed="81"/>
      <name val="Tahoma"/>
      <family val="2"/>
    </font>
    <font>
      <sz val="9"/>
      <color indexed="81"/>
      <name val="Tahoma"/>
      <family val="2"/>
    </font>
    <font>
      <sz val="11"/>
      <color rgb="FFFF0000"/>
      <name val="Arial"/>
      <family val="1"/>
      <scheme val="major"/>
    </font>
    <font>
      <sz val="11"/>
      <name val="Arial"/>
      <family val="1"/>
      <scheme val="major"/>
    </font>
    <font>
      <sz val="11"/>
      <color rgb="FFFF0000"/>
      <name val="Arial"/>
      <family val="2"/>
      <scheme val="minor"/>
    </font>
    <font>
      <b/>
      <sz val="11"/>
      <color theme="1"/>
      <name val="Arial"/>
      <family val="2"/>
      <scheme val="minor"/>
    </font>
    <font>
      <b/>
      <u/>
      <sz val="18"/>
      <color theme="1"/>
      <name val="Arial"/>
      <family val="2"/>
      <scheme val="minor"/>
    </font>
    <font>
      <sz val="10"/>
      <name val="MS Sans Serif"/>
      <family val="2"/>
    </font>
    <font>
      <b/>
      <sz val="10"/>
      <name val="Arial"/>
      <family val="2"/>
    </font>
    <font>
      <sz val="10"/>
      <name val="Arial"/>
      <family val="2"/>
    </font>
    <font>
      <b/>
      <sz val="11"/>
      <name val="Arial"/>
      <family val="2"/>
    </font>
    <font>
      <sz val="11"/>
      <name val="Arial"/>
      <family val="2"/>
    </font>
    <font>
      <sz val="11"/>
      <color indexed="8"/>
      <name val="Calibri"/>
      <family val="2"/>
    </font>
    <font>
      <sz val="10"/>
      <color indexed="21"/>
      <name val="System"/>
      <family val="2"/>
    </font>
    <font>
      <sz val="9"/>
      <color indexed="18"/>
      <name val="Arial"/>
      <family val="2"/>
    </font>
    <font>
      <b/>
      <sz val="8"/>
      <name val="Arial"/>
      <family val="2"/>
    </font>
    <font>
      <sz val="8"/>
      <name val="Arial"/>
      <family val="2"/>
    </font>
    <font>
      <sz val="10"/>
      <color indexed="18"/>
      <name val="System"/>
      <family val="2"/>
    </font>
    <font>
      <i/>
      <sz val="10"/>
      <color indexed="17"/>
      <name val="System"/>
      <family val="2"/>
    </font>
    <font>
      <sz val="10"/>
      <color indexed="14"/>
      <name val="System"/>
      <family val="2"/>
    </font>
    <font>
      <b/>
      <sz val="10"/>
      <color indexed="8"/>
      <name val="Times New Roman"/>
      <family val="1"/>
    </font>
    <font>
      <b/>
      <sz val="10"/>
      <name val="Times New Roman"/>
      <family val="1"/>
    </font>
    <font>
      <i/>
      <sz val="10"/>
      <name val="Times New Roman"/>
      <family val="1"/>
    </font>
    <font>
      <sz val="10"/>
      <color indexed="8"/>
      <name val="Arial"/>
      <family val="2"/>
    </font>
    <font>
      <sz val="19"/>
      <name val="Times New Roman"/>
      <family val="1"/>
    </font>
    <font>
      <sz val="9"/>
      <name val="Arial"/>
      <family val="2"/>
    </font>
    <font>
      <sz val="10"/>
      <color indexed="17"/>
      <name val="System"/>
      <family val="2"/>
    </font>
    <font>
      <b/>
      <u/>
      <sz val="16"/>
      <color theme="1"/>
      <name val="Arial"/>
      <family val="2"/>
      <scheme val="minor"/>
    </font>
    <font>
      <b/>
      <u/>
      <sz val="11"/>
      <color theme="1"/>
      <name val="Arial"/>
      <family val="2"/>
      <scheme val="minor"/>
    </font>
    <font>
      <b/>
      <sz val="11"/>
      <color rgb="FFFF0000"/>
      <name val="Arial"/>
      <family val="2"/>
      <scheme val="minor"/>
    </font>
    <font>
      <u/>
      <sz val="11"/>
      <color theme="1"/>
      <name val="Arial"/>
      <family val="2"/>
      <scheme val="minor"/>
    </font>
    <font>
      <i/>
      <sz val="11"/>
      <color theme="1"/>
      <name val="Arial"/>
      <family val="2"/>
      <scheme val="minor"/>
    </font>
    <font>
      <sz val="12"/>
      <color rgb="FF00B050"/>
      <name val="Arial"/>
      <family val="2"/>
    </font>
    <font>
      <u/>
      <sz val="10"/>
      <name val="Arial"/>
      <family val="2"/>
    </font>
    <font>
      <b/>
      <sz val="8"/>
      <color indexed="81"/>
      <name val="Tahoma"/>
      <family val="2"/>
    </font>
    <font>
      <sz val="8"/>
      <color indexed="81"/>
      <name val="Tahoma"/>
      <family val="2"/>
    </font>
    <font>
      <u/>
      <sz val="11"/>
      <name val="Arial"/>
      <family val="2"/>
    </font>
    <font>
      <i/>
      <sz val="11"/>
      <name val="Arial"/>
      <family val="2"/>
    </font>
    <font>
      <sz val="11"/>
      <color theme="1"/>
      <name val="&amp;quot"/>
    </font>
    <font>
      <sz val="10"/>
      <name val="Arial"/>
      <family val="2"/>
    </font>
    <font>
      <b/>
      <sz val="16"/>
      <name val="Arial"/>
      <family val="2"/>
    </font>
    <font>
      <sz val="14"/>
      <name val="Arial"/>
      <family val="2"/>
    </font>
    <font>
      <sz val="11"/>
      <color theme="1"/>
      <name val="Arial"/>
      <family val="2"/>
    </font>
    <font>
      <i/>
      <u/>
      <sz val="11"/>
      <name val="Arial"/>
      <family val="2"/>
    </font>
    <font>
      <i/>
      <sz val="11"/>
      <color theme="1"/>
      <name val="Arial"/>
      <family val="2"/>
    </font>
    <font>
      <b/>
      <sz val="11"/>
      <color theme="1"/>
      <name val="Arial"/>
      <family val="2"/>
    </font>
    <font>
      <sz val="10"/>
      <name val="Arial"/>
      <family val="2"/>
    </font>
    <font>
      <sz val="12"/>
      <color theme="1"/>
      <name val="Arial"/>
      <family val="2"/>
    </font>
    <font>
      <sz val="14"/>
      <color rgb="FFFF0000"/>
      <name val="Arial"/>
      <family val="2"/>
    </font>
    <font>
      <b/>
      <sz val="10"/>
      <color theme="1"/>
      <name val="Arial"/>
      <family val="2"/>
    </font>
    <font>
      <b/>
      <sz val="11"/>
      <color theme="0"/>
      <name val="Arial"/>
      <family val="2"/>
    </font>
    <font>
      <b/>
      <sz val="10"/>
      <name val="Courier"/>
      <family val="3"/>
    </font>
    <font>
      <sz val="10"/>
      <name val="Times New Roman"/>
      <family val="1"/>
    </font>
    <font>
      <sz val="12"/>
      <name val="Courier"/>
      <family val="3"/>
    </font>
    <font>
      <b/>
      <sz val="12"/>
      <name val="Arial"/>
      <family val="2"/>
      <scheme val="minor"/>
    </font>
    <font>
      <sz val="12"/>
      <name val="Arial"/>
      <family val="2"/>
      <scheme val="minor"/>
    </font>
    <font>
      <b/>
      <sz val="12"/>
      <color indexed="12"/>
      <name val="Arial"/>
      <family val="2"/>
      <scheme val="minor"/>
    </font>
    <font>
      <u/>
      <sz val="12"/>
      <name val="Arial"/>
      <family val="2"/>
      <scheme val="minor"/>
    </font>
    <font>
      <i/>
      <sz val="12"/>
      <name val="Arial"/>
      <family val="2"/>
      <scheme val="minor"/>
    </font>
    <font>
      <sz val="12"/>
      <color rgb="FFFF0000"/>
      <name val="Arial"/>
      <family val="2"/>
      <scheme val="minor"/>
    </font>
    <font>
      <i/>
      <u/>
      <sz val="12"/>
      <name val="Arial"/>
      <family val="2"/>
      <scheme val="minor"/>
    </font>
    <font>
      <i/>
      <sz val="12"/>
      <color rgb="FFFF0000"/>
      <name val="Arial"/>
      <family val="2"/>
      <scheme val="minor"/>
    </font>
    <font>
      <i/>
      <sz val="12"/>
      <color theme="1"/>
      <name val="Arial"/>
      <family val="2"/>
      <scheme val="minor"/>
    </font>
    <font>
      <b/>
      <u/>
      <sz val="12"/>
      <name val="Arial"/>
      <family val="2"/>
      <scheme val="minor"/>
    </font>
    <font>
      <sz val="12"/>
      <color theme="1"/>
      <name val="Arial"/>
      <family val="2"/>
      <scheme val="minor"/>
    </font>
    <font>
      <b/>
      <i/>
      <sz val="12"/>
      <color rgb="FFFF0000"/>
      <name val="Arial"/>
      <family val="2"/>
      <scheme val="minor"/>
    </font>
    <font>
      <b/>
      <sz val="10"/>
      <color theme="0"/>
      <name val="Arial"/>
      <family val="2"/>
    </font>
    <font>
      <sz val="10"/>
      <color theme="0"/>
      <name val="Arial"/>
      <family val="2"/>
    </font>
    <font>
      <sz val="8"/>
      <color theme="0"/>
      <name val="Arial"/>
      <family val="2"/>
    </font>
    <font>
      <sz val="11"/>
      <color rgb="FFFF0000"/>
      <name val="Arial"/>
      <family val="2"/>
    </font>
    <font>
      <i/>
      <sz val="11"/>
      <name val="Arial"/>
      <family val="2"/>
      <scheme val="minor"/>
    </font>
    <font>
      <sz val="11"/>
      <color rgb="FF0070C0"/>
      <name val="Arial"/>
      <family val="2"/>
    </font>
    <font>
      <sz val="11"/>
      <color rgb="FF0070C0"/>
      <name val="Arial"/>
      <family val="2"/>
      <scheme val="minor"/>
    </font>
    <font>
      <b/>
      <sz val="11"/>
      <color rgb="FF0070C0"/>
      <name val="Arial"/>
      <family val="2"/>
      <scheme val="minor"/>
    </font>
    <font>
      <sz val="10"/>
      <name val="Arial"/>
      <family val="2"/>
    </font>
    <font>
      <b/>
      <sz val="14"/>
      <name val="Arial"/>
      <family val="2"/>
    </font>
    <font>
      <sz val="14"/>
      <name val="Arial Black"/>
      <family val="2"/>
    </font>
    <font>
      <b/>
      <sz val="11"/>
      <name val="Arial"/>
      <family val="2"/>
      <scheme val="minor"/>
    </font>
    <font>
      <sz val="10"/>
      <color rgb="FFFF0000"/>
      <name val="Arial"/>
      <family val="2"/>
    </font>
    <font>
      <b/>
      <sz val="10"/>
      <color rgb="FFFF0000"/>
      <name val="Arial"/>
      <family val="2"/>
    </font>
    <font>
      <sz val="12"/>
      <color rgb="FF99CC00"/>
      <name val="Arial"/>
      <family val="2"/>
    </font>
    <font>
      <sz val="12"/>
      <color rgb="FFFFFF00"/>
      <name val="Arial"/>
      <family val="2"/>
    </font>
    <font>
      <sz val="12"/>
      <color rgb="FF000000"/>
      <name val="Arial"/>
      <family val="2"/>
    </font>
    <font>
      <sz val="11"/>
      <color theme="1"/>
      <name val="Arial"/>
      <family val="2"/>
    </font>
  </fonts>
  <fills count="31">
    <fill>
      <patternFill patternType="none"/>
    </fill>
    <fill>
      <patternFill patternType="gray125"/>
    </fill>
    <fill>
      <patternFill patternType="solid">
        <fgColor theme="0" tint="-4.9989318521683403E-2"/>
        <bgColor indexed="64"/>
      </patternFill>
    </fill>
    <fill>
      <patternFill patternType="solid">
        <fgColor indexed="11"/>
        <bgColor indexed="64"/>
      </patternFill>
    </fill>
    <fill>
      <patternFill patternType="solid">
        <fgColor indexed="50"/>
        <bgColor indexed="64"/>
      </patternFill>
    </fill>
    <fill>
      <patternFill patternType="solid">
        <fgColor indexed="22"/>
        <bgColor indexed="64"/>
      </patternFill>
    </fill>
    <fill>
      <patternFill patternType="solid">
        <fgColor indexed="42"/>
        <bgColor indexed="64"/>
      </patternFill>
    </fill>
    <fill>
      <patternFill patternType="solid">
        <fgColor rgb="FF00B050"/>
        <bgColor indexed="64"/>
      </patternFill>
    </fill>
    <fill>
      <patternFill patternType="solid">
        <fgColor rgb="FF0070C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
      <patternFill patternType="solid">
        <fgColor indexed="47"/>
        <bgColor indexed="64"/>
      </patternFill>
    </fill>
    <fill>
      <patternFill patternType="solid">
        <fgColor theme="9" tint="0.59999389629810485"/>
        <bgColor indexed="64"/>
      </patternFill>
    </fill>
    <fill>
      <patternFill patternType="solid">
        <fgColor theme="1"/>
        <bgColor indexed="64"/>
      </patternFill>
    </fill>
    <fill>
      <patternFill patternType="solid">
        <fgColor rgb="FFF3DADA"/>
        <bgColor indexed="64"/>
      </patternFill>
    </fill>
    <fill>
      <patternFill patternType="solid">
        <fgColor rgb="FF92D050"/>
        <bgColor indexed="64"/>
      </patternFill>
    </fill>
    <fill>
      <patternFill patternType="solid">
        <fgColor rgb="FF00FF00"/>
        <bgColor rgb="FF000000"/>
      </patternFill>
    </fill>
    <fill>
      <patternFill patternType="solid">
        <fgColor rgb="FF99CC00"/>
        <bgColor rgb="FF000000"/>
      </patternFill>
    </fill>
    <fill>
      <patternFill patternType="solid">
        <fgColor rgb="FFC0C0C0"/>
        <bgColor rgb="FF000000"/>
      </patternFill>
    </fill>
    <fill>
      <patternFill patternType="solid">
        <fgColor rgb="FFCCFFCC"/>
        <bgColor rgb="FF000000"/>
      </patternFill>
    </fill>
    <fill>
      <patternFill patternType="solid">
        <fgColor rgb="FFDDEBF7"/>
        <bgColor rgb="FFDDEBF7"/>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medium">
        <color indexed="64"/>
      </left>
      <right/>
      <top/>
      <bottom/>
      <diagonal/>
    </border>
    <border>
      <left/>
      <right style="thick">
        <color indexed="64"/>
      </right>
      <top/>
      <bottom/>
      <diagonal/>
    </border>
    <border>
      <left style="thick">
        <color indexed="64"/>
      </left>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13"/>
      </top>
      <bottom style="thin">
        <color indexed="13"/>
      </bottom>
      <diagonal/>
    </border>
    <border>
      <left/>
      <right style="medium">
        <color indexed="33"/>
      </right>
      <top/>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n">
        <color indexed="64"/>
      </top>
      <bottom style="medium">
        <color indexed="64"/>
      </bottom>
      <diagonal/>
    </border>
    <border>
      <left style="medium">
        <color indexed="64"/>
      </left>
      <right style="medium">
        <color indexed="64"/>
      </right>
      <top/>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style="thin">
        <color indexed="64"/>
      </right>
      <top style="medium">
        <color indexed="64"/>
      </top>
      <bottom style="thin">
        <color indexed="64"/>
      </bottom>
      <diagonal/>
    </border>
  </borders>
  <cellStyleXfs count="69">
    <xf numFmtId="0" fontId="0" fillId="0" borderId="0"/>
    <xf numFmtId="0" fontId="3" fillId="0" borderId="0" applyNumberFormat="0" applyFill="0" applyBorder="0" applyAlignment="0" applyProtection="0"/>
    <xf numFmtId="0" fontId="7" fillId="0" borderId="0"/>
    <xf numFmtId="0" fontId="4" fillId="0" borderId="0"/>
    <xf numFmtId="43" fontId="4" fillId="0" borderId="0" applyFont="0" applyFill="0" applyBorder="0" applyAlignment="0" applyProtection="0"/>
    <xf numFmtId="168" fontId="23" fillId="0" borderId="0"/>
    <xf numFmtId="0" fontId="5"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168" fontId="23" fillId="0" borderId="0"/>
    <xf numFmtId="0" fontId="4" fillId="0" borderId="0"/>
    <xf numFmtId="0" fontId="4" fillId="0" borderId="0"/>
    <xf numFmtId="0" fontId="34" fillId="0" borderId="0"/>
    <xf numFmtId="0" fontId="36" fillId="0" borderId="0"/>
    <xf numFmtId="0" fontId="38" fillId="0" borderId="0"/>
    <xf numFmtId="0" fontId="24" fillId="0" borderId="0"/>
    <xf numFmtId="0" fontId="24" fillId="0" borderId="0"/>
    <xf numFmtId="0" fontId="24" fillId="0" borderId="0"/>
    <xf numFmtId="0" fontId="24" fillId="0" borderId="0"/>
    <xf numFmtId="0" fontId="24" fillId="0" borderId="0"/>
    <xf numFmtId="0" fontId="24" fillId="0" borderId="0"/>
    <xf numFmtId="44" fontId="39" fillId="0" borderId="0" applyFont="0" applyFill="0" applyBorder="0" applyAlignment="0" applyProtection="0"/>
    <xf numFmtId="0" fontId="40" fillId="0" borderId="0" applyNumberFormat="0" applyFill="0" applyBorder="0" applyAlignment="0" applyProtection="0">
      <protection locked="0"/>
    </xf>
    <xf numFmtId="1" fontId="41" fillId="0" borderId="0" applyNumberFormat="0" applyFill="0" applyBorder="0" applyAlignment="0" applyProtection="0"/>
    <xf numFmtId="0" fontId="35" fillId="0" borderId="0">
      <alignment horizontal="right" vertical="top"/>
    </xf>
    <xf numFmtId="0" fontId="42" fillId="0" borderId="0">
      <alignment horizontal="center" vertical="center" wrapText="1"/>
    </xf>
    <xf numFmtId="0" fontId="43" fillId="0" borderId="1">
      <alignment horizontal="center" vertical="center" wrapText="1"/>
    </xf>
    <xf numFmtId="0" fontId="43" fillId="0" borderId="1">
      <alignment horizontal="center" vertical="center" wrapText="1"/>
    </xf>
    <xf numFmtId="0" fontId="42" fillId="0" borderId="0">
      <alignment horizontal="left" wrapText="1"/>
    </xf>
    <xf numFmtId="1" fontId="44" fillId="0" borderId="0" applyNumberFormat="0" applyFill="0" applyBorder="0" applyAlignment="0" applyProtection="0"/>
    <xf numFmtId="0" fontId="43" fillId="0" borderId="0">
      <alignment horizontal="left" vertical="center"/>
    </xf>
    <xf numFmtId="0" fontId="43" fillId="0" borderId="0">
      <alignment horizontal="left" vertical="center"/>
    </xf>
    <xf numFmtId="0" fontId="43" fillId="0" borderId="0">
      <alignment horizontal="center" vertical="center"/>
    </xf>
    <xf numFmtId="0" fontId="43" fillId="0" borderId="0">
      <alignment horizontal="center" vertical="center"/>
    </xf>
    <xf numFmtId="10" fontId="45" fillId="0" borderId="61" applyFill="0" applyAlignment="0" applyProtection="0">
      <protection locked="0"/>
    </xf>
    <xf numFmtId="0" fontId="24" fillId="0" borderId="0"/>
    <xf numFmtId="0" fontId="24" fillId="0" borderId="0" applyNumberFormat="0" applyFill="0" applyBorder="0" applyAlignment="0" applyProtection="0"/>
    <xf numFmtId="0" fontId="24" fillId="0" borderId="0"/>
    <xf numFmtId="0" fontId="24" fillId="0" borderId="0"/>
    <xf numFmtId="0" fontId="4" fillId="0" borderId="0"/>
    <xf numFmtId="3" fontId="43" fillId="0" borderId="0">
      <alignment horizontal="right"/>
    </xf>
    <xf numFmtId="3" fontId="43" fillId="0" borderId="0">
      <alignment horizontal="right"/>
    </xf>
    <xf numFmtId="1" fontId="46" fillId="0" borderId="62" applyNumberFormat="0" applyFill="0" applyBorder="0" applyAlignment="0" applyProtection="0"/>
    <xf numFmtId="4" fontId="47" fillId="0" borderId="29" applyNumberFormat="0" applyProtection="0">
      <alignment vertical="center"/>
    </xf>
    <xf numFmtId="4" fontId="47" fillId="0" borderId="63" applyNumberFormat="0" applyProtection="0">
      <alignment horizontal="centerContinuous" vertical="center"/>
    </xf>
    <xf numFmtId="0" fontId="48" fillId="0" borderId="64" applyNumberFormat="0" applyProtection="0">
      <alignment vertical="center"/>
    </xf>
    <xf numFmtId="0" fontId="48" fillId="0" borderId="33" applyNumberFormat="0" applyProtection="0">
      <alignment horizontal="left" vertical="center" indent="1"/>
    </xf>
    <xf numFmtId="0" fontId="49" fillId="0" borderId="33" applyNumberFormat="0" applyProtection="0">
      <alignment horizontal="left" vertical="center" indent="1"/>
    </xf>
    <xf numFmtId="4" fontId="50" fillId="0" borderId="0" applyNumberFormat="0" applyProtection="0">
      <alignment horizontal="left" vertical="center" indent="1"/>
    </xf>
    <xf numFmtId="0" fontId="47" fillId="0" borderId="39" applyNumberFormat="0" applyProtection="0">
      <alignment horizontal="right" vertical="top" wrapText="1"/>
    </xf>
    <xf numFmtId="4" fontId="51" fillId="0" borderId="7" applyNumberFormat="0" applyProtection="0">
      <alignment horizontal="left" vertical="center" indent="1"/>
    </xf>
    <xf numFmtId="0" fontId="24" fillId="0" borderId="0"/>
    <xf numFmtId="0" fontId="43" fillId="0" borderId="51" applyBorder="0">
      <alignment horizontal="right"/>
    </xf>
    <xf numFmtId="170" fontId="24" fillId="0" borderId="0"/>
    <xf numFmtId="170" fontId="24" fillId="0" borderId="0"/>
    <xf numFmtId="170" fontId="24" fillId="0" borderId="0"/>
    <xf numFmtId="0" fontId="52" fillId="0" borderId="0" applyNumberFormat="0" applyFill="0" applyBorder="0" applyAlignment="0" applyProtection="0"/>
    <xf numFmtId="0" fontId="53" fillId="0" borderId="0" applyNumberFormat="0" applyFill="0" applyBorder="0" applyAlignment="0" applyProtection="0"/>
    <xf numFmtId="0" fontId="66" fillId="0" borderId="0"/>
    <xf numFmtId="9" fontId="4" fillId="0" borderId="0" applyFont="0" applyFill="0" applyBorder="0" applyAlignment="0" applyProtection="0"/>
    <xf numFmtId="0" fontId="73" fillId="0" borderId="0"/>
    <xf numFmtId="9" fontId="24" fillId="0" borderId="0" applyFont="0" applyFill="0" applyBorder="0" applyAlignment="0" applyProtection="0"/>
    <xf numFmtId="0" fontId="79" fillId="0" borderId="0"/>
    <xf numFmtId="43" fontId="4" fillId="0" borderId="0" applyFont="0" applyFill="0" applyBorder="0" applyAlignment="0" applyProtection="0"/>
    <xf numFmtId="44" fontId="4" fillId="0" borderId="0" applyFont="0" applyFill="0" applyBorder="0" applyAlignment="0" applyProtection="0"/>
    <xf numFmtId="0" fontId="101" fillId="0" borderId="0"/>
    <xf numFmtId="43" fontId="101" fillId="0" borderId="0" applyFont="0" applyFill="0" applyBorder="0" applyAlignment="0" applyProtection="0"/>
  </cellStyleXfs>
  <cellXfs count="1221">
    <xf numFmtId="0" fontId="0" fillId="0" borderId="0" xfId="0"/>
    <xf numFmtId="0" fontId="1" fillId="0" borderId="0" xfId="0" applyFont="1"/>
    <xf numFmtId="0" fontId="1" fillId="0" borderId="0" xfId="0" applyFont="1" applyAlignment="1">
      <alignment horizontal="center"/>
    </xf>
    <xf numFmtId="0" fontId="1" fillId="2" borderId="0" xfId="0" applyFont="1" applyFill="1"/>
    <xf numFmtId="0" fontId="1" fillId="0" borderId="0" xfId="0" applyFont="1" applyAlignment="1">
      <alignment vertical="center"/>
    </xf>
    <xf numFmtId="0" fontId="1" fillId="0" borderId="0" xfId="0" applyFont="1" applyAlignment="1">
      <alignment horizontal="center" wrapText="1"/>
    </xf>
    <xf numFmtId="0" fontId="1" fillId="0" borderId="0" xfId="0" applyFont="1" applyAlignment="1">
      <alignment horizontal="center" vertical="center"/>
    </xf>
    <xf numFmtId="0" fontId="9" fillId="0" borderId="0" xfId="7" applyFont="1"/>
    <xf numFmtId="0" fontId="15" fillId="0" borderId="0" xfId="7" applyFont="1"/>
    <xf numFmtId="0" fontId="18" fillId="0" borderId="0" xfId="7" applyFont="1"/>
    <xf numFmtId="0" fontId="16" fillId="5" borderId="9" xfId="7" applyFont="1" applyFill="1" applyBorder="1" applyAlignment="1">
      <alignment horizontal="centerContinuous"/>
    </xf>
    <xf numFmtId="0" fontId="16" fillId="5" borderId="0" xfId="7" applyFont="1" applyFill="1"/>
    <xf numFmtId="168" fontId="16" fillId="5" borderId="0" xfId="7" applyNumberFormat="1" applyFont="1" applyFill="1" applyAlignment="1">
      <alignment horizontal="right"/>
    </xf>
    <xf numFmtId="0" fontId="16" fillId="5" borderId="0" xfId="7" applyFont="1" applyFill="1" applyAlignment="1">
      <alignment horizontal="left"/>
    </xf>
    <xf numFmtId="168" fontId="16" fillId="5" borderId="13" xfId="7" applyNumberFormat="1" applyFont="1" applyFill="1" applyBorder="1" applyAlignment="1">
      <alignment horizontal="right"/>
    </xf>
    <xf numFmtId="0" fontId="16" fillId="5" borderId="0" xfId="7" applyFont="1" applyFill="1" applyAlignment="1">
      <alignment horizontal="right"/>
    </xf>
    <xf numFmtId="167" fontId="9" fillId="5" borderId="7" xfId="7" applyNumberFormat="1" applyFont="1" applyFill="1" applyBorder="1" applyAlignment="1">
      <alignment horizontal="fill"/>
    </xf>
    <xf numFmtId="167" fontId="9" fillId="5" borderId="16" xfId="7" applyNumberFormat="1" applyFont="1" applyFill="1" applyBorder="1" applyAlignment="1">
      <alignment horizontal="fill"/>
    </xf>
    <xf numFmtId="0" fontId="6" fillId="8" borderId="0" xfId="0" applyFont="1" applyFill="1" applyAlignment="1">
      <alignment horizontal="center" vertical="center"/>
    </xf>
    <xf numFmtId="0" fontId="6" fillId="8" borderId="0" xfId="0" applyFont="1" applyFill="1" applyAlignment="1">
      <alignment horizontal="center" vertical="center" wrapText="1"/>
    </xf>
    <xf numFmtId="0" fontId="1" fillId="0" borderId="0" xfId="0" applyFont="1" applyAlignment="1">
      <alignment horizontal="right"/>
    </xf>
    <xf numFmtId="0" fontId="1" fillId="0" borderId="0" xfId="0" applyFont="1" applyAlignment="1">
      <alignment horizontal="left" vertical="center"/>
    </xf>
    <xf numFmtId="0" fontId="26" fillId="0" borderId="0" xfId="0" applyFont="1" applyAlignment="1">
      <alignment horizontal="left"/>
    </xf>
    <xf numFmtId="0" fontId="26" fillId="9" borderId="0" xfId="0" applyFont="1" applyFill="1" applyAlignment="1">
      <alignment horizontal="left"/>
    </xf>
    <xf numFmtId="164" fontId="26" fillId="0" borderId="0" xfId="0" applyNumberFormat="1" applyFont="1" applyAlignment="1">
      <alignment horizontal="center"/>
    </xf>
    <xf numFmtId="0" fontId="26" fillId="0" borderId="0" xfId="0" applyFont="1" applyAlignment="1">
      <alignment horizontal="center"/>
    </xf>
    <xf numFmtId="0" fontId="26" fillId="9" borderId="0" xfId="0" applyFont="1" applyFill="1" applyAlignment="1">
      <alignment horizontal="center"/>
    </xf>
    <xf numFmtId="0" fontId="6" fillId="9" borderId="0" xfId="0" applyFont="1" applyFill="1" applyAlignment="1">
      <alignment horizontal="left"/>
    </xf>
    <xf numFmtId="164" fontId="26" fillId="9" borderId="0" xfId="0" applyNumberFormat="1" applyFont="1" applyFill="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1" fillId="9" borderId="0" xfId="0" applyFont="1" applyFill="1" applyAlignment="1">
      <alignment horizontal="center"/>
    </xf>
    <xf numFmtId="0" fontId="1" fillId="9" borderId="0" xfId="0" applyFont="1" applyFill="1" applyAlignment="1">
      <alignment horizontal="center" wrapText="1"/>
    </xf>
    <xf numFmtId="0" fontId="6" fillId="9" borderId="0" xfId="0" applyFont="1" applyFill="1" applyAlignment="1">
      <alignment horizontal="center"/>
    </xf>
    <xf numFmtId="0" fontId="16" fillId="6" borderId="0" xfId="7" applyFont="1" applyFill="1" applyAlignment="1">
      <alignment horizontal="centerContinuous"/>
    </xf>
    <xf numFmtId="0" fontId="16" fillId="6" borderId="0" xfId="7" quotePrefix="1" applyFont="1" applyFill="1" applyAlignment="1">
      <alignment horizontal="centerContinuous"/>
    </xf>
    <xf numFmtId="0" fontId="1" fillId="9" borderId="0" xfId="0" applyFont="1" applyFill="1" applyAlignment="1">
      <alignment horizontal="center" vertical="center"/>
    </xf>
    <xf numFmtId="0" fontId="1" fillId="0" borderId="24" xfId="0" applyFont="1" applyBorder="1"/>
    <xf numFmtId="0" fontId="1" fillId="0" borderId="4" xfId="0" applyFont="1" applyBorder="1"/>
    <xf numFmtId="0" fontId="1" fillId="0" borderId="25" xfId="0" applyFont="1" applyBorder="1"/>
    <xf numFmtId="0" fontId="1" fillId="0" borderId="13" xfId="0" applyFont="1" applyBorder="1"/>
    <xf numFmtId="0" fontId="1" fillId="0" borderId="22" xfId="0" applyFont="1" applyBorder="1"/>
    <xf numFmtId="0" fontId="1" fillId="0" borderId="16" xfId="0" applyFont="1" applyBorder="1"/>
    <xf numFmtId="0" fontId="1" fillId="0" borderId="7" xfId="0" applyFont="1" applyBorder="1"/>
    <xf numFmtId="0" fontId="1" fillId="0" borderId="23" xfId="0" applyFont="1" applyBorder="1"/>
    <xf numFmtId="0" fontId="1" fillId="0" borderId="26" xfId="0" applyFont="1" applyBorder="1"/>
    <xf numFmtId="0" fontId="1" fillId="0" borderId="27" xfId="0" applyFont="1" applyBorder="1"/>
    <xf numFmtId="0" fontId="1" fillId="0" borderId="28" xfId="0" applyFont="1" applyBorder="1"/>
    <xf numFmtId="0" fontId="26" fillId="0" borderId="24" xfId="0" applyFont="1" applyBorder="1"/>
    <xf numFmtId="0" fontId="26" fillId="0" borderId="13" xfId="0" applyFont="1" applyBorder="1"/>
    <xf numFmtId="0" fontId="29" fillId="0" borderId="0" xfId="0" applyFont="1"/>
    <xf numFmtId="0" fontId="6" fillId="7" borderId="0" xfId="0" applyFont="1" applyFill="1" applyAlignment="1">
      <alignment horizontal="center" vertical="center" wrapText="1"/>
    </xf>
    <xf numFmtId="164" fontId="6" fillId="7" borderId="0" xfId="0" applyNumberFormat="1" applyFont="1" applyFill="1" applyAlignment="1">
      <alignment horizontal="center" vertical="center" wrapText="1"/>
    </xf>
    <xf numFmtId="0" fontId="1" fillId="0" borderId="0" xfId="0" applyFont="1" applyAlignment="1">
      <alignment vertical="center" wrapText="1"/>
    </xf>
    <xf numFmtId="0" fontId="30" fillId="0" borderId="0" xfId="0" applyFont="1"/>
    <xf numFmtId="0" fontId="6" fillId="0" borderId="29" xfId="0" applyFont="1" applyBorder="1" applyAlignment="1">
      <alignment horizontal="center" vertical="center" wrapText="1"/>
    </xf>
    <xf numFmtId="164" fontId="6" fillId="0" borderId="29" xfId="0" applyNumberFormat="1" applyFont="1" applyBorder="1" applyAlignment="1">
      <alignment horizontal="center" vertical="center" wrapText="1"/>
    </xf>
    <xf numFmtId="0" fontId="26" fillId="0" borderId="29" xfId="0" applyFont="1" applyBorder="1" applyAlignment="1">
      <alignment horizontal="left"/>
    </xf>
    <xf numFmtId="164" fontId="26" fillId="0" borderId="29" xfId="0" applyNumberFormat="1" applyFont="1" applyBorder="1" applyAlignment="1">
      <alignment horizontal="center"/>
    </xf>
    <xf numFmtId="0" fontId="26" fillId="0" borderId="29" xfId="0" applyFont="1" applyBorder="1" applyAlignment="1">
      <alignment horizontal="center"/>
    </xf>
    <xf numFmtId="0" fontId="6" fillId="0" borderId="29" xfId="0" applyFont="1" applyBorder="1" applyAlignment="1">
      <alignment horizontal="left"/>
    </xf>
    <xf numFmtId="164" fontId="6" fillId="0" borderId="29" xfId="0" applyNumberFormat="1" applyFont="1" applyBorder="1" applyAlignment="1">
      <alignment horizontal="center"/>
    </xf>
    <xf numFmtId="0" fontId="6" fillId="0" borderId="29" xfId="0" applyFont="1" applyBorder="1" applyAlignment="1">
      <alignment horizontal="center"/>
    </xf>
    <xf numFmtId="0" fontId="32" fillId="0" borderId="30" xfId="0" applyFont="1" applyBorder="1" applyAlignment="1">
      <alignment horizontal="center"/>
    </xf>
    <xf numFmtId="0" fontId="32" fillId="0" borderId="0" xfId="0" applyFont="1" applyAlignment="1">
      <alignment horizontal="center"/>
    </xf>
    <xf numFmtId="0" fontId="0" fillId="0" borderId="33" xfId="0" applyBorder="1" applyAlignment="1">
      <alignment horizontal="center"/>
    </xf>
    <xf numFmtId="0" fontId="0" fillId="0" borderId="34" xfId="0" applyBorder="1"/>
    <xf numFmtId="0" fontId="0" fillId="0" borderId="35" xfId="0" applyBorder="1"/>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xf numFmtId="0" fontId="0" fillId="0" borderId="37" xfId="0" applyBorder="1"/>
    <xf numFmtId="0" fontId="0" fillId="0" borderId="38" xfId="0" applyBorder="1" applyAlignment="1">
      <alignment horizontal="center"/>
    </xf>
    <xf numFmtId="0" fontId="0" fillId="0" borderId="38" xfId="0" applyBorder="1"/>
    <xf numFmtId="0" fontId="54" fillId="0" borderId="0" xfId="0" applyFont="1"/>
    <xf numFmtId="0" fontId="32" fillId="0" borderId="0" xfId="0" applyFont="1"/>
    <xf numFmtId="0" fontId="32" fillId="0" borderId="1" xfId="0" applyFont="1" applyBorder="1"/>
    <xf numFmtId="0" fontId="0" fillId="0" borderId="0" xfId="0" applyAlignment="1">
      <alignment vertical="top"/>
    </xf>
    <xf numFmtId="0" fontId="0" fillId="0" borderId="0" xfId="0" applyAlignment="1">
      <alignment wrapText="1"/>
    </xf>
    <xf numFmtId="0" fontId="33" fillId="0" borderId="0" xfId="0" applyFont="1"/>
    <xf numFmtId="0" fontId="55" fillId="0" borderId="0" xfId="0" applyFont="1"/>
    <xf numFmtId="0" fontId="32" fillId="0" borderId="38" xfId="0" applyFont="1" applyBorder="1" applyAlignment="1">
      <alignment horizontal="center"/>
    </xf>
    <xf numFmtId="0" fontId="0" fillId="0" borderId="0" xfId="0" applyAlignment="1">
      <alignment horizontal="left"/>
    </xf>
    <xf numFmtId="0" fontId="55" fillId="0" borderId="31" xfId="0" applyFont="1" applyBorder="1"/>
    <xf numFmtId="0" fontId="0" fillId="0" borderId="32" xfId="0" applyBorder="1"/>
    <xf numFmtId="0" fontId="32" fillId="0" borderId="34" xfId="0" applyFont="1" applyBorder="1" applyAlignment="1">
      <alignment horizontal="center"/>
    </xf>
    <xf numFmtId="0" fontId="32" fillId="0" borderId="35" xfId="0" applyFont="1" applyBorder="1" applyAlignment="1">
      <alignment horizontal="center"/>
    </xf>
    <xf numFmtId="0" fontId="32" fillId="0" borderId="34" xfId="0" applyFont="1" applyBorder="1"/>
    <xf numFmtId="0" fontId="32" fillId="0" borderId="37" xfId="0" applyFont="1" applyBorder="1" applyAlignment="1">
      <alignment horizontal="center"/>
    </xf>
    <xf numFmtId="0" fontId="0" fillId="0" borderId="51" xfId="0" applyBorder="1"/>
    <xf numFmtId="0" fontId="0" fillId="0" borderId="33" xfId="0" applyBorder="1" applyAlignment="1">
      <alignment horizontal="left"/>
    </xf>
    <xf numFmtId="0" fontId="0" fillId="0" borderId="38" xfId="0" applyBorder="1" applyAlignment="1">
      <alignment horizontal="left"/>
    </xf>
    <xf numFmtId="0" fontId="31" fillId="0" borderId="33" xfId="0" applyFont="1" applyBorder="1" applyAlignment="1">
      <alignment horizontal="left"/>
    </xf>
    <xf numFmtId="0" fontId="31" fillId="0" borderId="0" xfId="0" applyFont="1" applyAlignment="1">
      <alignment horizontal="left"/>
    </xf>
    <xf numFmtId="0" fontId="31" fillId="0" borderId="0" xfId="0" applyFont="1"/>
    <xf numFmtId="0" fontId="0" fillId="13" borderId="33" xfId="0" applyFill="1" applyBorder="1" applyAlignment="1">
      <alignment horizontal="center"/>
    </xf>
    <xf numFmtId="0" fontId="32" fillId="13" borderId="33" xfId="0" applyFont="1" applyFill="1" applyBorder="1" applyAlignment="1">
      <alignment horizontal="center"/>
    </xf>
    <xf numFmtId="0" fontId="31" fillId="0" borderId="33" xfId="0" applyFont="1" applyBorder="1" applyAlignment="1">
      <alignment horizontal="center"/>
    </xf>
    <xf numFmtId="0" fontId="31" fillId="0" borderId="0" xfId="0" applyFont="1" applyAlignment="1">
      <alignment vertical="top" wrapText="1"/>
    </xf>
    <xf numFmtId="0" fontId="32" fillId="0" borderId="0" xfId="0" applyFont="1" applyAlignment="1">
      <alignment horizontal="left"/>
    </xf>
    <xf numFmtId="0" fontId="31" fillId="0" borderId="0" xfId="0" applyFont="1" applyAlignment="1">
      <alignment horizontal="left" wrapText="1"/>
    </xf>
    <xf numFmtId="0" fontId="58" fillId="0" borderId="0" xfId="0" applyFont="1" applyAlignment="1">
      <alignment horizontal="center"/>
    </xf>
    <xf numFmtId="2" fontId="58" fillId="0" borderId="0" xfId="0" applyNumberFormat="1" applyFont="1" applyAlignment="1">
      <alignment horizontal="center"/>
    </xf>
    <xf numFmtId="0" fontId="63" fillId="0" borderId="0" xfId="14" applyFont="1" applyProtection="1">
      <protection hidden="1"/>
    </xf>
    <xf numFmtId="0" fontId="37" fillId="0" borderId="0" xfId="14" applyFont="1" applyAlignment="1" applyProtection="1">
      <alignment horizontal="center"/>
      <protection hidden="1"/>
    </xf>
    <xf numFmtId="0" fontId="38" fillId="0" borderId="0" xfId="14" applyFont="1" applyProtection="1">
      <protection hidden="1"/>
    </xf>
    <xf numFmtId="0" fontId="38" fillId="0" borderId="0" xfId="14" applyFont="1" applyAlignment="1" applyProtection="1">
      <alignment horizontal="center"/>
      <protection hidden="1"/>
    </xf>
    <xf numFmtId="169" fontId="0" fillId="0" borderId="0" xfId="0" applyNumberFormat="1" applyAlignment="1">
      <alignment horizontal="center"/>
    </xf>
    <xf numFmtId="0" fontId="37" fillId="0" borderId="0" xfId="14" applyFont="1" applyProtection="1">
      <protection hidden="1"/>
    </xf>
    <xf numFmtId="169" fontId="32" fillId="0" borderId="0" xfId="0" applyNumberFormat="1" applyFont="1" applyAlignment="1">
      <alignment horizontal="center"/>
    </xf>
    <xf numFmtId="0" fontId="38" fillId="0" borderId="0" xfId="14" applyFont="1" applyAlignment="1" applyProtection="1">
      <alignment horizontal="left"/>
      <protection hidden="1"/>
    </xf>
    <xf numFmtId="169" fontId="0" fillId="0" borderId="0" xfId="0" applyNumberFormat="1"/>
    <xf numFmtId="169" fontId="32" fillId="0" borderId="1" xfId="0" applyNumberFormat="1" applyFont="1" applyBorder="1" applyAlignment="1">
      <alignment horizontal="center"/>
    </xf>
    <xf numFmtId="0" fontId="57" fillId="0" borderId="0" xfId="0" applyFont="1"/>
    <xf numFmtId="0" fontId="0" fillId="0" borderId="0" xfId="0" applyAlignment="1">
      <alignment horizontal="center" wrapText="1"/>
    </xf>
    <xf numFmtId="169" fontId="0" fillId="0" borderId="1" xfId="0" applyNumberFormat="1" applyBorder="1" applyAlignment="1">
      <alignment horizontal="center"/>
    </xf>
    <xf numFmtId="6" fontId="0" fillId="0" borderId="0" xfId="0" applyNumberFormat="1" applyAlignment="1">
      <alignment horizontal="center"/>
    </xf>
    <xf numFmtId="0" fontId="58" fillId="0" borderId="0" xfId="0" applyFont="1"/>
    <xf numFmtId="0" fontId="32" fillId="0" borderId="0" xfId="0" applyFont="1" applyAlignment="1">
      <alignment horizontal="center" vertical="center" wrapText="1"/>
    </xf>
    <xf numFmtId="6" fontId="32" fillId="0" borderId="0" xfId="0" applyNumberFormat="1" applyFont="1" applyAlignment="1">
      <alignment horizontal="center" vertical="center" wrapText="1"/>
    </xf>
    <xf numFmtId="0" fontId="0" fillId="7" borderId="0" xfId="0" applyFill="1"/>
    <xf numFmtId="0" fontId="69" fillId="0" borderId="0" xfId="0" applyFont="1"/>
    <xf numFmtId="169" fontId="69" fillId="0" borderId="0" xfId="0" applyNumberFormat="1" applyFont="1" applyAlignment="1">
      <alignment horizontal="center"/>
    </xf>
    <xf numFmtId="0" fontId="64" fillId="0" borderId="31" xfId="14" applyFont="1" applyBorder="1" applyProtection="1">
      <protection hidden="1"/>
    </xf>
    <xf numFmtId="169" fontId="71" fillId="0" borderId="32" xfId="0" applyNumberFormat="1" applyFont="1" applyBorder="1" applyAlignment="1">
      <alignment horizontal="center"/>
    </xf>
    <xf numFmtId="0" fontId="64" fillId="0" borderId="34" xfId="14" applyFont="1" applyBorder="1" applyProtection="1">
      <protection hidden="1"/>
    </xf>
    <xf numFmtId="169" fontId="64" fillId="0" borderId="35" xfId="16" applyNumberFormat="1" applyFont="1" applyBorder="1" applyAlignment="1">
      <alignment horizontal="center"/>
    </xf>
    <xf numFmtId="0" fontId="64" fillId="0" borderId="36" xfId="14" applyFont="1" applyBorder="1" applyProtection="1">
      <protection hidden="1"/>
    </xf>
    <xf numFmtId="169" fontId="71" fillId="0" borderId="0" xfId="0" applyNumberFormat="1" applyFont="1" applyAlignment="1">
      <alignment horizontal="center"/>
    </xf>
    <xf numFmtId="169" fontId="72" fillId="0" borderId="0" xfId="0" applyNumberFormat="1" applyFont="1" applyAlignment="1">
      <alignment horizontal="center"/>
    </xf>
    <xf numFmtId="164" fontId="64" fillId="0" borderId="0" xfId="16" applyNumberFormat="1" applyFont="1" applyAlignment="1">
      <alignment horizontal="center"/>
    </xf>
    <xf numFmtId="0" fontId="64" fillId="0" borderId="0" xfId="14" applyFont="1" applyProtection="1">
      <protection hidden="1"/>
    </xf>
    <xf numFmtId="169" fontId="64" fillId="0" borderId="37" xfId="16" applyNumberFormat="1" applyFont="1" applyBorder="1" applyAlignment="1">
      <alignment horizontal="center"/>
    </xf>
    <xf numFmtId="0" fontId="0" fillId="16" borderId="0" xfId="0" applyFill="1"/>
    <xf numFmtId="0" fontId="38" fillId="16" borderId="0" xfId="14" applyFont="1" applyFill="1" applyProtection="1">
      <protection hidden="1"/>
    </xf>
    <xf numFmtId="169" fontId="69" fillId="16" borderId="0" xfId="0" applyNumberFormat="1" applyFont="1" applyFill="1" applyAlignment="1" applyProtection="1">
      <alignment horizontal="center"/>
      <protection hidden="1"/>
    </xf>
    <xf numFmtId="0" fontId="71" fillId="0" borderId="0" xfId="0" applyFont="1"/>
    <xf numFmtId="169" fontId="0" fillId="0" borderId="30" xfId="0" applyNumberFormat="1" applyBorder="1" applyAlignment="1">
      <alignment horizontal="center"/>
    </xf>
    <xf numFmtId="169" fontId="64" fillId="0" borderId="33" xfId="16" applyNumberFormat="1" applyFont="1" applyBorder="1" applyAlignment="1">
      <alignment horizontal="center"/>
    </xf>
    <xf numFmtId="169" fontId="64" fillId="0" borderId="38" xfId="16" applyNumberFormat="1" applyFont="1" applyBorder="1" applyAlignment="1">
      <alignment horizontal="center"/>
    </xf>
    <xf numFmtId="0" fontId="69" fillId="0" borderId="0" xfId="0" applyFont="1" applyAlignment="1">
      <alignment horizontal="center"/>
    </xf>
    <xf numFmtId="3" fontId="9" fillId="11" borderId="0" xfId="62" applyNumberFormat="1" applyFont="1" applyFill="1"/>
    <xf numFmtId="0" fontId="9" fillId="10" borderId="0" xfId="62" applyFont="1" applyFill="1" applyAlignment="1">
      <alignment horizontal="left"/>
    </xf>
    <xf numFmtId="0" fontId="9" fillId="9" borderId="0" xfId="62" applyFont="1" applyFill="1" applyAlignment="1">
      <alignment horizontal="left"/>
    </xf>
    <xf numFmtId="0" fontId="9" fillId="17" borderId="0" xfId="62" applyFont="1" applyFill="1" applyAlignment="1">
      <alignment horizontal="left"/>
    </xf>
    <xf numFmtId="0" fontId="9" fillId="11" borderId="0" xfId="7" applyFont="1" applyFill="1"/>
    <xf numFmtId="0" fontId="67" fillId="5" borderId="8" xfId="7" applyFont="1" applyFill="1" applyBorder="1" applyAlignment="1">
      <alignment horizontal="left"/>
    </xf>
    <xf numFmtId="0" fontId="16" fillId="5" borderId="9" xfId="7" quotePrefix="1" applyFont="1" applyFill="1" applyBorder="1" applyAlignment="1">
      <alignment horizontal="centerContinuous"/>
    </xf>
    <xf numFmtId="0" fontId="16" fillId="5" borderId="11" xfId="7" applyFont="1" applyFill="1" applyBorder="1" applyAlignment="1">
      <alignment horizontal="centerContinuous"/>
    </xf>
    <xf numFmtId="0" fontId="9" fillId="11" borderId="0" xfId="7" applyFont="1" applyFill="1" applyAlignment="1">
      <alignment horizontal="left"/>
    </xf>
    <xf numFmtId="0" fontId="15" fillId="11" borderId="0" xfId="7" applyFont="1" applyFill="1"/>
    <xf numFmtId="0" fontId="16" fillId="11" borderId="0" xfId="7" applyFont="1" applyFill="1"/>
    <xf numFmtId="0" fontId="67" fillId="5" borderId="31" xfId="7" quotePrefix="1" applyFont="1" applyFill="1" applyBorder="1" applyAlignment="1">
      <alignment horizontal="left"/>
    </xf>
    <xf numFmtId="0" fontId="16" fillId="5" borderId="55" xfId="7" applyFont="1" applyFill="1" applyBorder="1" applyAlignment="1">
      <alignment horizontal="centerContinuous"/>
    </xf>
    <xf numFmtId="0" fontId="16" fillId="5" borderId="55" xfId="7" quotePrefix="1" applyFont="1" applyFill="1" applyBorder="1" applyAlignment="1">
      <alignment horizontal="centerContinuous"/>
    </xf>
    <xf numFmtId="0" fontId="16" fillId="5" borderId="32" xfId="7" applyFont="1" applyFill="1" applyBorder="1" applyAlignment="1">
      <alignment horizontal="centerContinuous"/>
    </xf>
    <xf numFmtId="0" fontId="16" fillId="6" borderId="24" xfId="7" applyFont="1" applyFill="1" applyBorder="1" applyAlignment="1">
      <alignment horizontal="left"/>
    </xf>
    <xf numFmtId="0" fontId="16" fillId="6" borderId="4" xfId="7" applyFont="1" applyFill="1" applyBorder="1" applyAlignment="1">
      <alignment horizontal="centerContinuous"/>
    </xf>
    <xf numFmtId="0" fontId="16" fillId="6" borderId="4" xfId="7" quotePrefix="1" applyFont="1" applyFill="1" applyBorder="1" applyAlignment="1">
      <alignment horizontal="centerContinuous"/>
    </xf>
    <xf numFmtId="0" fontId="16" fillId="6" borderId="25" xfId="7" applyFont="1" applyFill="1" applyBorder="1" applyAlignment="1">
      <alignment horizontal="centerContinuous"/>
    </xf>
    <xf numFmtId="0" fontId="16" fillId="6" borderId="13" xfId="7" applyFont="1" applyFill="1" applyBorder="1" applyAlignment="1">
      <alignment horizontal="left"/>
    </xf>
    <xf numFmtId="0" fontId="16" fillId="6" borderId="22" xfId="7" applyFont="1" applyFill="1" applyBorder="1" applyAlignment="1">
      <alignment horizontal="centerContinuous"/>
    </xf>
    <xf numFmtId="0" fontId="9" fillId="6" borderId="13" xfId="7" applyFont="1" applyFill="1" applyBorder="1"/>
    <xf numFmtId="0" fontId="16" fillId="6" borderId="0" xfId="7" applyFont="1" applyFill="1"/>
    <xf numFmtId="0" fontId="16" fillId="6" borderId="22" xfId="7" applyFont="1" applyFill="1" applyBorder="1"/>
    <xf numFmtId="0" fontId="43" fillId="11" borderId="0" xfId="7" applyFont="1" applyFill="1" applyAlignment="1">
      <alignment horizontal="right"/>
    </xf>
    <xf numFmtId="0" fontId="9" fillId="6" borderId="16" xfId="7" applyFont="1" applyFill="1" applyBorder="1"/>
    <xf numFmtId="0" fontId="16" fillId="6" borderId="7" xfId="7" applyFont="1" applyFill="1" applyBorder="1"/>
    <xf numFmtId="0" fontId="16" fillId="6" borderId="23" xfId="7" applyFont="1" applyFill="1" applyBorder="1"/>
    <xf numFmtId="0" fontId="24" fillId="15" borderId="24" xfId="7" applyFill="1" applyBorder="1"/>
    <xf numFmtId="0" fontId="24" fillId="15" borderId="4" xfId="7" applyFill="1" applyBorder="1"/>
    <xf numFmtId="0" fontId="24" fillId="15" borderId="4" xfId="7" applyFill="1" applyBorder="1" applyAlignment="1">
      <alignment horizontal="left"/>
    </xf>
    <xf numFmtId="0" fontId="24" fillId="15" borderId="5" xfId="7" applyFill="1" applyBorder="1"/>
    <xf numFmtId="0" fontId="24" fillId="15" borderId="6" xfId="7" applyFill="1" applyBorder="1" applyAlignment="1">
      <alignment horizontal="left"/>
    </xf>
    <xf numFmtId="0" fontId="24" fillId="15" borderId="6" xfId="7" applyFill="1" applyBorder="1"/>
    <xf numFmtId="0" fontId="24" fillId="15" borderId="65" xfId="7" applyFill="1" applyBorder="1"/>
    <xf numFmtId="0" fontId="43" fillId="15" borderId="24" xfId="7" applyFont="1" applyFill="1" applyBorder="1" applyAlignment="1">
      <alignment horizontal="right"/>
    </xf>
    <xf numFmtId="0" fontId="43" fillId="15" borderId="4" xfId="7" applyFont="1" applyFill="1" applyBorder="1" applyAlignment="1">
      <alignment horizontal="right"/>
    </xf>
    <xf numFmtId="0" fontId="43" fillId="15" borderId="25" xfId="7" applyFont="1" applyFill="1" applyBorder="1" applyAlignment="1">
      <alignment horizontal="right"/>
    </xf>
    <xf numFmtId="0" fontId="35" fillId="11" borderId="0" xfId="7" applyFont="1" applyFill="1"/>
    <xf numFmtId="0" fontId="24" fillId="15" borderId="13" xfId="7" applyFill="1" applyBorder="1"/>
    <xf numFmtId="0" fontId="24" fillId="15" borderId="0" xfId="7" applyFill="1"/>
    <xf numFmtId="0" fontId="24" fillId="15" borderId="0" xfId="7" applyFill="1" applyAlignment="1">
      <alignment horizontal="center"/>
    </xf>
    <xf numFmtId="0" fontId="24" fillId="15" borderId="22" xfId="7" applyFill="1" applyBorder="1"/>
    <xf numFmtId="0" fontId="24" fillId="11" borderId="0" xfId="7" applyFill="1"/>
    <xf numFmtId="0" fontId="18" fillId="11" borderId="0" xfId="7" applyFont="1" applyFill="1"/>
    <xf numFmtId="2" fontId="24" fillId="15" borderId="0" xfId="7" applyNumberFormat="1" applyFill="1"/>
    <xf numFmtId="10" fontId="24" fillId="15" borderId="0" xfId="7" applyNumberFormat="1" applyFill="1"/>
    <xf numFmtId="166" fontId="24" fillId="15" borderId="0" xfId="7" applyNumberFormat="1" applyFill="1" applyAlignment="1">
      <alignment horizontal="left"/>
    </xf>
    <xf numFmtId="166" fontId="24" fillId="15" borderId="0" xfId="7" applyNumberFormat="1" applyFill="1"/>
    <xf numFmtId="0" fontId="24" fillId="15" borderId="22" xfId="7" applyFill="1" applyBorder="1" applyAlignment="1">
      <alignment horizontal="left"/>
    </xf>
    <xf numFmtId="0" fontId="24" fillId="11" borderId="0" xfId="7" applyFill="1" applyAlignment="1">
      <alignment horizontal="right"/>
    </xf>
    <xf numFmtId="165" fontId="24" fillId="15" borderId="0" xfId="7" applyNumberFormat="1" applyFill="1"/>
    <xf numFmtId="165" fontId="24" fillId="15" borderId="22" xfId="7" applyNumberFormat="1" applyFill="1" applyBorder="1"/>
    <xf numFmtId="0" fontId="24" fillId="15" borderId="16" xfId="7" applyFill="1" applyBorder="1"/>
    <xf numFmtId="0" fontId="24" fillId="15" borderId="7" xfId="7" applyFill="1" applyBorder="1"/>
    <xf numFmtId="0" fontId="24" fillId="15" borderId="7" xfId="7" applyFill="1" applyBorder="1" applyAlignment="1">
      <alignment horizontal="left"/>
    </xf>
    <xf numFmtId="166" fontId="24" fillId="15" borderId="7" xfId="7" applyNumberFormat="1" applyFill="1" applyBorder="1"/>
    <xf numFmtId="10" fontId="24" fillId="15" borderId="7" xfId="7" applyNumberFormat="1" applyFill="1" applyBorder="1"/>
    <xf numFmtId="2" fontId="24" fillId="15" borderId="7" xfId="7" applyNumberFormat="1" applyFill="1" applyBorder="1"/>
    <xf numFmtId="171" fontId="24" fillId="15" borderId="7" xfId="7" applyNumberFormat="1" applyFill="1" applyBorder="1"/>
    <xf numFmtId="166" fontId="24" fillId="15" borderId="7" xfId="7" applyNumberFormat="1" applyFill="1" applyBorder="1" applyAlignment="1">
      <alignment horizontal="left"/>
    </xf>
    <xf numFmtId="0" fontId="24" fillId="15" borderId="23" xfId="7" applyFill="1" applyBorder="1"/>
    <xf numFmtId="167" fontId="35" fillId="11" borderId="66" xfId="7" applyNumberFormat="1" applyFont="1" applyFill="1" applyBorder="1" applyAlignment="1">
      <alignment horizontal="left"/>
    </xf>
    <xf numFmtId="167" fontId="35" fillId="11" borderId="66" xfId="7" applyNumberFormat="1" applyFont="1" applyFill="1" applyBorder="1"/>
    <xf numFmtId="0" fontId="35" fillId="11" borderId="66" xfId="7" applyFont="1" applyFill="1" applyBorder="1"/>
    <xf numFmtId="0" fontId="35" fillId="0" borderId="0" xfId="7" applyFont="1"/>
    <xf numFmtId="167" fontId="9" fillId="11" borderId="0" xfId="7" applyNumberFormat="1" applyFont="1" applyFill="1" applyAlignment="1">
      <alignment horizontal="fill"/>
    </xf>
    <xf numFmtId="167" fontId="9" fillId="11" borderId="0" xfId="7" applyNumberFormat="1" applyFont="1" applyFill="1" applyAlignment="1">
      <alignment horizontal="center"/>
    </xf>
    <xf numFmtId="0" fontId="24" fillId="15" borderId="16" xfId="7" applyFill="1" applyBorder="1" applyAlignment="1">
      <alignment horizontal="center"/>
    </xf>
    <xf numFmtId="165" fontId="24" fillId="15" borderId="7" xfId="7" applyNumberFormat="1" applyFill="1" applyBorder="1"/>
    <xf numFmtId="167" fontId="9" fillId="5" borderId="13" xfId="7" applyNumberFormat="1" applyFont="1" applyFill="1" applyBorder="1"/>
    <xf numFmtId="0" fontId="9" fillId="5" borderId="22" xfId="7" applyFont="1" applyFill="1" applyBorder="1"/>
    <xf numFmtId="167" fontId="9" fillId="5" borderId="16" xfId="7" applyNumberFormat="1" applyFont="1" applyFill="1" applyBorder="1"/>
    <xf numFmtId="0" fontId="9" fillId="5" borderId="23" xfId="7" applyFont="1" applyFill="1" applyBorder="1"/>
    <xf numFmtId="166" fontId="9" fillId="11" borderId="0" xfId="7" applyNumberFormat="1" applyFont="1" applyFill="1"/>
    <xf numFmtId="167" fontId="9" fillId="15" borderId="13" xfId="7" applyNumberFormat="1" applyFont="1" applyFill="1" applyBorder="1"/>
    <xf numFmtId="168" fontId="68" fillId="15" borderId="0" xfId="7" quotePrefix="1" applyNumberFormat="1" applyFont="1" applyFill="1" applyAlignment="1">
      <alignment horizontal="left"/>
    </xf>
    <xf numFmtId="168" fontId="68" fillId="15" borderId="0" xfId="7" applyNumberFormat="1" applyFont="1" applyFill="1" applyAlignment="1">
      <alignment horizontal="left"/>
    </xf>
    <xf numFmtId="0" fontId="68" fillId="15" borderId="0" xfId="7" applyFont="1" applyFill="1"/>
    <xf numFmtId="3" fontId="68" fillId="15" borderId="0" xfId="7" applyNumberFormat="1" applyFont="1" applyFill="1"/>
    <xf numFmtId="3" fontId="68" fillId="15" borderId="13" xfId="7" applyNumberFormat="1" applyFont="1" applyFill="1" applyBorder="1"/>
    <xf numFmtId="0" fontId="9" fillId="15" borderId="22" xfId="7" applyFont="1" applyFill="1" applyBorder="1"/>
    <xf numFmtId="0" fontId="68" fillId="15" borderId="0" xfId="7" applyFont="1" applyFill="1" applyAlignment="1">
      <alignment horizontal="left"/>
    </xf>
    <xf numFmtId="3" fontId="9" fillId="11" borderId="0" xfId="7" applyNumberFormat="1" applyFont="1" applyFill="1"/>
    <xf numFmtId="0" fontId="9" fillId="15" borderId="13" xfId="7" applyFont="1" applyFill="1" applyBorder="1"/>
    <xf numFmtId="168" fontId="9" fillId="11" borderId="0" xfId="7" applyNumberFormat="1" applyFont="1" applyFill="1"/>
    <xf numFmtId="0" fontId="68" fillId="15" borderId="51" xfId="7" applyFont="1" applyFill="1" applyBorder="1" applyAlignment="1">
      <alignment horizontal="left"/>
    </xf>
    <xf numFmtId="0" fontId="68" fillId="15" borderId="51" xfId="7" applyFont="1" applyFill="1" applyBorder="1"/>
    <xf numFmtId="3" fontId="68" fillId="15" borderId="51" xfId="7" applyNumberFormat="1" applyFont="1" applyFill="1" applyBorder="1"/>
    <xf numFmtId="3" fontId="68" fillId="15" borderId="67" xfId="7" applyNumberFormat="1" applyFont="1" applyFill="1" applyBorder="1"/>
    <xf numFmtId="3" fontId="68" fillId="15" borderId="22" xfId="7" applyNumberFormat="1" applyFont="1" applyFill="1" applyBorder="1"/>
    <xf numFmtId="0" fontId="9" fillId="15" borderId="16" xfId="7" applyFont="1" applyFill="1" applyBorder="1" applyAlignment="1">
      <alignment horizontal="right"/>
    </xf>
    <xf numFmtId="0" fontId="75" fillId="19" borderId="7" xfId="7" applyFont="1" applyFill="1" applyBorder="1" applyAlignment="1">
      <alignment horizontal="left"/>
    </xf>
    <xf numFmtId="9" fontId="75" fillId="19" borderId="7" xfId="7" applyNumberFormat="1" applyFont="1" applyFill="1" applyBorder="1" applyAlignment="1">
      <alignment horizontal="left"/>
    </xf>
    <xf numFmtId="0" fontId="75" fillId="19" borderId="7" xfId="7" applyFont="1" applyFill="1" applyBorder="1"/>
    <xf numFmtId="3" fontId="75" fillId="19" borderId="7" xfId="7" applyNumberFormat="1" applyFont="1" applyFill="1" applyBorder="1"/>
    <xf numFmtId="3" fontId="9" fillId="19" borderId="7" xfId="7" applyNumberFormat="1" applyFont="1" applyFill="1" applyBorder="1"/>
    <xf numFmtId="3" fontId="75" fillId="19" borderId="0" xfId="7" applyNumberFormat="1" applyFont="1" applyFill="1"/>
    <xf numFmtId="3" fontId="9" fillId="15" borderId="7" xfId="7" applyNumberFormat="1" applyFont="1" applyFill="1" applyBorder="1"/>
    <xf numFmtId="3" fontId="9" fillId="15" borderId="16" xfId="7" applyNumberFormat="1" applyFont="1" applyFill="1" applyBorder="1"/>
    <xf numFmtId="0" fontId="9" fillId="15" borderId="23" xfId="7" applyFont="1" applyFill="1" applyBorder="1"/>
    <xf numFmtId="0" fontId="68" fillId="19" borderId="51" xfId="7" applyFont="1" applyFill="1" applyBorder="1" applyAlignment="1">
      <alignment horizontal="left"/>
    </xf>
    <xf numFmtId="0" fontId="68" fillId="19" borderId="51" xfId="7" applyFont="1" applyFill="1" applyBorder="1"/>
    <xf numFmtId="3" fontId="68" fillId="19" borderId="51" xfId="7" applyNumberFormat="1" applyFont="1" applyFill="1" applyBorder="1"/>
    <xf numFmtId="168" fontId="9" fillId="19" borderId="0" xfId="7" applyNumberFormat="1" applyFont="1" applyFill="1"/>
    <xf numFmtId="0" fontId="31" fillId="19" borderId="0" xfId="0" applyFont="1" applyFill="1"/>
    <xf numFmtId="169" fontId="31" fillId="19" borderId="0" xfId="0" applyNumberFormat="1" applyFont="1" applyFill="1" applyAlignment="1">
      <alignment horizontal="center"/>
    </xf>
    <xf numFmtId="0" fontId="0" fillId="19" borderId="0" xfId="0" applyFill="1"/>
    <xf numFmtId="0" fontId="31" fillId="19" borderId="0" xfId="0" applyFont="1" applyFill="1" applyAlignment="1">
      <alignment horizontal="left" wrapText="1"/>
    </xf>
    <xf numFmtId="9" fontId="9" fillId="11" borderId="0" xfId="61" applyFont="1" applyFill="1"/>
    <xf numFmtId="0" fontId="7" fillId="0" borderId="0" xfId="7" applyFont="1"/>
    <xf numFmtId="0" fontId="7" fillId="0" borderId="0" xfId="7" applyFont="1" applyAlignment="1">
      <alignment horizontal="center"/>
    </xf>
    <xf numFmtId="0" fontId="60" fillId="0" borderId="0" xfId="7" applyFont="1"/>
    <xf numFmtId="0" fontId="7" fillId="0" borderId="0" xfId="7" applyFont="1" applyAlignment="1">
      <alignment horizontal="center" vertical="center"/>
    </xf>
    <xf numFmtId="0" fontId="76" fillId="0" borderId="0" xfId="7" applyFont="1" applyAlignment="1">
      <alignment horizontal="center" vertical="center" wrapText="1"/>
    </xf>
    <xf numFmtId="0" fontId="76" fillId="0" borderId="0" xfId="7" applyFont="1" applyAlignment="1">
      <alignment horizontal="center" wrapText="1"/>
    </xf>
    <xf numFmtId="0" fontId="7" fillId="0" borderId="0" xfId="7" applyFont="1" applyAlignment="1">
      <alignment horizontal="center" wrapText="1"/>
    </xf>
    <xf numFmtId="0" fontId="7" fillId="19" borderId="0" xfId="7" applyFont="1" applyFill="1" applyAlignment="1">
      <alignment horizontal="center" wrapText="1"/>
    </xf>
    <xf numFmtId="0" fontId="7" fillId="19" borderId="0" xfId="7" applyFont="1" applyFill="1" applyAlignment="1">
      <alignment horizontal="center"/>
    </xf>
    <xf numFmtId="169" fontId="7" fillId="0" borderId="0" xfId="7" applyNumberFormat="1" applyFont="1" applyAlignment="1">
      <alignment horizontal="center"/>
    </xf>
    <xf numFmtId="169" fontId="7" fillId="19" borderId="0" xfId="7" applyNumberFormat="1" applyFont="1" applyFill="1" applyAlignment="1">
      <alignment horizontal="center"/>
    </xf>
    <xf numFmtId="169" fontId="7" fillId="14" borderId="0" xfId="7" applyNumberFormat="1" applyFont="1" applyFill="1" applyAlignment="1">
      <alignment horizontal="center"/>
    </xf>
    <xf numFmtId="169" fontId="7" fillId="0" borderId="0" xfId="7" applyNumberFormat="1" applyFont="1"/>
    <xf numFmtId="9" fontId="7" fillId="0" borderId="0" xfId="63" applyFont="1" applyAlignment="1">
      <alignment horizontal="center"/>
    </xf>
    <xf numFmtId="0" fontId="7" fillId="0" borderId="0" xfId="7" applyFont="1" applyAlignment="1">
      <alignment wrapText="1"/>
    </xf>
    <xf numFmtId="0" fontId="37" fillId="15" borderId="26" xfId="7" applyFont="1" applyFill="1" applyBorder="1" applyAlignment="1">
      <alignment horizontal="centerContinuous"/>
    </xf>
    <xf numFmtId="0" fontId="37" fillId="15" borderId="27" xfId="7" applyFont="1" applyFill="1" applyBorder="1" applyAlignment="1">
      <alignment horizontal="centerContinuous"/>
    </xf>
    <xf numFmtId="0" fontId="37" fillId="15" borderId="27" xfId="7" quotePrefix="1" applyFont="1" applyFill="1" applyBorder="1" applyAlignment="1">
      <alignment horizontal="centerContinuous"/>
    </xf>
    <xf numFmtId="0" fontId="77" fillId="15" borderId="27" xfId="7" applyFont="1" applyFill="1" applyBorder="1" applyAlignment="1">
      <alignment horizontal="centerContinuous"/>
    </xf>
    <xf numFmtId="0" fontId="37" fillId="15" borderId="28" xfId="7" applyFont="1" applyFill="1" applyBorder="1" applyAlignment="1">
      <alignment horizontal="centerContinuous"/>
    </xf>
    <xf numFmtId="0" fontId="38" fillId="0" borderId="0" xfId="7" applyFont="1"/>
    <xf numFmtId="0" fontId="37" fillId="0" borderId="0" xfId="7" applyFont="1" applyAlignment="1">
      <alignment horizontal="centerContinuous"/>
    </xf>
    <xf numFmtId="0" fontId="37" fillId="0" borderId="0" xfId="7" quotePrefix="1" applyFont="1" applyAlignment="1">
      <alignment horizontal="centerContinuous"/>
    </xf>
    <xf numFmtId="0" fontId="38" fillId="0" borderId="0" xfId="7" applyFont="1" applyAlignment="1">
      <alignment horizontal="left"/>
    </xf>
    <xf numFmtId="0" fontId="38" fillId="15" borderId="24" xfId="7" applyFont="1" applyFill="1" applyBorder="1" applyAlignment="1">
      <alignment horizontal="left"/>
    </xf>
    <xf numFmtId="0" fontId="38" fillId="15" borderId="4" xfId="7" applyFont="1" applyFill="1" applyBorder="1"/>
    <xf numFmtId="0" fontId="38" fillId="15" borderId="25" xfId="7" applyFont="1" applyFill="1" applyBorder="1"/>
    <xf numFmtId="0" fontId="79" fillId="0" borderId="0" xfId="64"/>
    <xf numFmtId="0" fontId="17" fillId="15" borderId="24" xfId="64" applyFont="1" applyFill="1" applyBorder="1" applyAlignment="1">
      <alignment horizontal="right"/>
    </xf>
    <xf numFmtId="0" fontId="17" fillId="15" borderId="4" xfId="64" applyFont="1" applyFill="1" applyBorder="1" applyAlignment="1">
      <alignment horizontal="right"/>
    </xf>
    <xf numFmtId="0" fontId="17" fillId="15" borderId="25" xfId="64" applyFont="1" applyFill="1" applyBorder="1" applyAlignment="1">
      <alignment horizontal="right"/>
    </xf>
    <xf numFmtId="0" fontId="24" fillId="0" borderId="0" xfId="7"/>
    <xf numFmtId="0" fontId="18" fillId="15" borderId="13" xfId="64" applyFont="1" applyFill="1" applyBorder="1"/>
    <xf numFmtId="0" fontId="18" fillId="15" borderId="0" xfId="64" applyFont="1" applyFill="1"/>
    <xf numFmtId="0" fontId="18" fillId="15" borderId="22" xfId="64" applyFont="1" applyFill="1" applyBorder="1"/>
    <xf numFmtId="0" fontId="35" fillId="0" borderId="0" xfId="7" quotePrefix="1" applyFont="1" applyAlignment="1">
      <alignment horizontal="left"/>
    </xf>
    <xf numFmtId="165" fontId="18" fillId="15" borderId="0" xfId="64" applyNumberFormat="1" applyFont="1" applyFill="1"/>
    <xf numFmtId="165" fontId="18" fillId="15" borderId="22" xfId="64" applyNumberFormat="1" applyFont="1" applyFill="1" applyBorder="1"/>
    <xf numFmtId="0" fontId="35" fillId="15" borderId="24" xfId="7" applyFont="1" applyFill="1" applyBorder="1"/>
    <xf numFmtId="0" fontId="35" fillId="15" borderId="4" xfId="7" applyFont="1" applyFill="1" applyBorder="1" applyAlignment="1">
      <alignment horizontal="left"/>
    </xf>
    <xf numFmtId="0" fontId="35" fillId="15" borderId="4" xfId="7" applyFont="1" applyFill="1" applyBorder="1"/>
    <xf numFmtId="0" fontId="35" fillId="15" borderId="25" xfId="7" applyFont="1" applyFill="1" applyBorder="1"/>
    <xf numFmtId="0" fontId="4" fillId="0" borderId="0" xfId="64" applyFont="1"/>
    <xf numFmtId="0" fontId="35" fillId="15" borderId="13" xfId="7" applyFont="1" applyFill="1" applyBorder="1"/>
    <xf numFmtId="0" fontId="35" fillId="15" borderId="0" xfId="7" applyFont="1" applyFill="1"/>
    <xf numFmtId="0" fontId="35" fillId="15" borderId="0" xfId="7" applyFont="1" applyFill="1" applyAlignment="1">
      <alignment horizontal="right"/>
    </xf>
    <xf numFmtId="0" fontId="35" fillId="15" borderId="22" xfId="7" applyFont="1" applyFill="1" applyBorder="1"/>
    <xf numFmtId="0" fontId="24" fillId="0" borderId="0" xfId="64" applyFont="1"/>
    <xf numFmtId="167" fontId="35" fillId="15" borderId="16" xfId="7" applyNumberFormat="1" applyFont="1" applyFill="1" applyBorder="1" applyAlignment="1">
      <alignment horizontal="left"/>
    </xf>
    <xf numFmtId="167" fontId="35" fillId="15" borderId="7" xfId="7" applyNumberFormat="1" applyFont="1" applyFill="1" applyBorder="1"/>
    <xf numFmtId="0" fontId="35" fillId="15" borderId="7" xfId="7" applyFont="1" applyFill="1" applyBorder="1"/>
    <xf numFmtId="0" fontId="35" fillId="15" borderId="23" xfId="7" applyFont="1" applyFill="1" applyBorder="1"/>
    <xf numFmtId="0" fontId="24" fillId="0" borderId="7" xfId="7" applyBorder="1"/>
    <xf numFmtId="167" fontId="24" fillId="0" borderId="7" xfId="7" applyNumberFormat="1" applyBorder="1" applyAlignment="1">
      <alignment horizontal="fill"/>
    </xf>
    <xf numFmtId="0" fontId="18" fillId="15" borderId="16" xfId="64" applyFont="1" applyFill="1" applyBorder="1" applyAlignment="1">
      <alignment horizontal="right"/>
    </xf>
    <xf numFmtId="165" fontId="18" fillId="15" borderId="7" xfId="64" applyNumberFormat="1" applyFont="1" applyFill="1" applyBorder="1"/>
    <xf numFmtId="0" fontId="18" fillId="15" borderId="23" xfId="64" applyFont="1" applyFill="1" applyBorder="1"/>
    <xf numFmtId="168" fontId="9" fillId="15" borderId="0" xfId="7" applyNumberFormat="1" applyFont="1" applyFill="1" applyAlignment="1">
      <alignment horizontal="left"/>
    </xf>
    <xf numFmtId="168" fontId="16" fillId="15" borderId="0" xfId="7" applyNumberFormat="1" applyFont="1" applyFill="1" applyAlignment="1">
      <alignment horizontal="centerContinuous"/>
    </xf>
    <xf numFmtId="0" fontId="16" fillId="15" borderId="0" xfId="7" applyFont="1" applyFill="1" applyAlignment="1">
      <alignment horizontal="centerContinuous"/>
    </xf>
    <xf numFmtId="0" fontId="9" fillId="15" borderId="0" xfId="7" applyFont="1" applyFill="1"/>
    <xf numFmtId="0" fontId="16" fillId="15" borderId="13" xfId="7" applyFont="1" applyFill="1" applyBorder="1" applyAlignment="1">
      <alignment horizontal="centerContinuous"/>
    </xf>
    <xf numFmtId="0" fontId="9" fillId="15" borderId="0" xfId="7" applyFont="1" applyFill="1" applyAlignment="1">
      <alignment horizontal="centerContinuous"/>
    </xf>
    <xf numFmtId="0" fontId="16" fillId="15" borderId="0" xfId="7" applyFont="1" applyFill="1"/>
    <xf numFmtId="168" fontId="16" fillId="15" borderId="0" xfId="7" applyNumberFormat="1" applyFont="1" applyFill="1" applyAlignment="1">
      <alignment horizontal="right"/>
    </xf>
    <xf numFmtId="168" fontId="16" fillId="15" borderId="0" xfId="7" quotePrefix="1" applyNumberFormat="1" applyFont="1" applyFill="1" applyAlignment="1">
      <alignment horizontal="right"/>
    </xf>
    <xf numFmtId="0" fontId="16" fillId="15" borderId="0" xfId="7" applyFont="1" applyFill="1" applyAlignment="1">
      <alignment horizontal="left"/>
    </xf>
    <xf numFmtId="168" fontId="16" fillId="15" borderId="13" xfId="7" applyNumberFormat="1" applyFont="1" applyFill="1" applyBorder="1" applyAlignment="1">
      <alignment horizontal="right"/>
    </xf>
    <xf numFmtId="0" fontId="16" fillId="15" borderId="0" xfId="7" applyFont="1" applyFill="1" applyAlignment="1">
      <alignment horizontal="right"/>
    </xf>
    <xf numFmtId="0" fontId="24" fillId="15" borderId="16" xfId="7" applyFill="1" applyBorder="1" applyAlignment="1">
      <alignment horizontal="left"/>
    </xf>
    <xf numFmtId="167" fontId="9" fillId="15" borderId="16" xfId="7" applyNumberFormat="1" applyFont="1" applyFill="1" applyBorder="1"/>
    <xf numFmtId="167" fontId="9" fillId="15" borderId="7" xfId="7" applyNumberFormat="1" applyFont="1" applyFill="1" applyBorder="1" applyAlignment="1">
      <alignment horizontal="fill"/>
    </xf>
    <xf numFmtId="167" fontId="9" fillId="15" borderId="16" xfId="7" applyNumberFormat="1" applyFont="1" applyFill="1" applyBorder="1" applyAlignment="1">
      <alignment horizontal="fill"/>
    </xf>
    <xf numFmtId="0" fontId="24" fillId="0" borderId="0" xfId="7" applyAlignment="1">
      <alignment horizontal="left"/>
    </xf>
    <xf numFmtId="165" fontId="24" fillId="0" borderId="0" xfId="7" applyNumberFormat="1"/>
    <xf numFmtId="167" fontId="9" fillId="15" borderId="24" xfId="7" applyNumberFormat="1" applyFont="1" applyFill="1" applyBorder="1" applyAlignment="1">
      <alignment horizontal="fill"/>
    </xf>
    <xf numFmtId="167" fontId="9" fillId="15" borderId="4" xfId="7" applyNumberFormat="1" applyFont="1" applyFill="1" applyBorder="1" applyAlignment="1">
      <alignment horizontal="fill"/>
    </xf>
    <xf numFmtId="167" fontId="9" fillId="15" borderId="25" xfId="7" applyNumberFormat="1" applyFont="1" applyFill="1" applyBorder="1" applyAlignment="1">
      <alignment horizontal="fill"/>
    </xf>
    <xf numFmtId="1" fontId="9" fillId="15" borderId="0" xfId="7" applyNumberFormat="1" applyFont="1" applyFill="1" applyAlignment="1">
      <alignment horizontal="center"/>
    </xf>
    <xf numFmtId="172" fontId="74" fillId="20" borderId="0" xfId="65" applyNumberFormat="1" applyFont="1" applyFill="1"/>
    <xf numFmtId="169" fontId="9" fillId="15" borderId="0" xfId="7" applyNumberFormat="1" applyFont="1" applyFill="1"/>
    <xf numFmtId="169" fontId="9" fillId="15" borderId="22" xfId="7" applyNumberFormat="1" applyFont="1" applyFill="1" applyBorder="1"/>
    <xf numFmtId="169" fontId="9" fillId="0" borderId="0" xfId="7" applyNumberFormat="1" applyFont="1"/>
    <xf numFmtId="166" fontId="24" fillId="0" borderId="0" xfId="7" applyNumberFormat="1"/>
    <xf numFmtId="0" fontId="9" fillId="15" borderId="0" xfId="7" applyFont="1" applyFill="1" applyAlignment="1">
      <alignment horizontal="left"/>
    </xf>
    <xf numFmtId="168" fontId="24" fillId="0" borderId="0" xfId="7" applyNumberFormat="1"/>
    <xf numFmtId="172" fontId="24" fillId="0" borderId="0" xfId="9" applyNumberFormat="1" applyFont="1"/>
    <xf numFmtId="0" fontId="9" fillId="15" borderId="13" xfId="7" quotePrefix="1" applyFont="1" applyFill="1" applyBorder="1"/>
    <xf numFmtId="169" fontId="9" fillId="15" borderId="0" xfId="7" quotePrefix="1" applyNumberFormat="1" applyFont="1" applyFill="1"/>
    <xf numFmtId="0" fontId="16" fillId="15" borderId="13" xfId="7" applyFont="1" applyFill="1" applyBorder="1" applyAlignment="1">
      <alignment horizontal="right"/>
    </xf>
    <xf numFmtId="0" fontId="9" fillId="15" borderId="13" xfId="7" applyFont="1" applyFill="1" applyBorder="1" applyAlignment="1">
      <alignment horizontal="left"/>
    </xf>
    <xf numFmtId="168" fontId="9" fillId="15" borderId="0" xfId="7" applyNumberFormat="1" applyFont="1" applyFill="1" applyAlignment="1">
      <alignment horizontal="center"/>
    </xf>
    <xf numFmtId="0" fontId="80" fillId="15" borderId="13" xfId="7" applyFont="1" applyFill="1" applyBorder="1"/>
    <xf numFmtId="3" fontId="9" fillId="15" borderId="0" xfId="7" applyNumberFormat="1" applyFont="1" applyFill="1"/>
    <xf numFmtId="3" fontId="9" fillId="15" borderId="22" xfId="7" applyNumberFormat="1" applyFont="1" applyFill="1" applyBorder="1"/>
    <xf numFmtId="0" fontId="16" fillId="15" borderId="16" xfId="7" quotePrefix="1" applyFont="1" applyFill="1" applyBorder="1"/>
    <xf numFmtId="0" fontId="9" fillId="15" borderId="7" xfId="7" applyFont="1" applyFill="1" applyBorder="1" applyAlignment="1">
      <alignment horizontal="left"/>
    </xf>
    <xf numFmtId="168" fontId="9" fillId="15" borderId="7" xfId="7" applyNumberFormat="1" applyFont="1" applyFill="1" applyBorder="1" applyAlignment="1">
      <alignment horizontal="center"/>
    </xf>
    <xf numFmtId="3" fontId="9" fillId="15" borderId="23" xfId="7" applyNumberFormat="1" applyFont="1" applyFill="1" applyBorder="1"/>
    <xf numFmtId="3" fontId="9" fillId="15" borderId="7" xfId="7" quotePrefix="1" applyNumberFormat="1" applyFont="1" applyFill="1" applyBorder="1"/>
    <xf numFmtId="0" fontId="35" fillId="0" borderId="0" xfId="7" applyFont="1" applyAlignment="1">
      <alignment horizontal="right"/>
    </xf>
    <xf numFmtId="168" fontId="24" fillId="0" borderId="0" xfId="7" applyNumberFormat="1" applyAlignment="1">
      <alignment horizontal="center"/>
    </xf>
    <xf numFmtId="3" fontId="24" fillId="0" borderId="0" xfId="7" applyNumberFormat="1"/>
    <xf numFmtId="1" fontId="24" fillId="15" borderId="4" xfId="7" applyNumberFormat="1" applyFill="1" applyBorder="1" applyAlignment="1">
      <alignment horizontal="center"/>
    </xf>
    <xf numFmtId="3" fontId="24" fillId="15" borderId="4" xfId="7" applyNumberFormat="1" applyFill="1" applyBorder="1"/>
    <xf numFmtId="3" fontId="24" fillId="15" borderId="25" xfId="7" applyNumberFormat="1" applyFill="1" applyBorder="1"/>
    <xf numFmtId="0" fontId="24" fillId="15" borderId="0" xfId="7" applyFill="1" applyAlignment="1">
      <alignment horizontal="left"/>
    </xf>
    <xf numFmtId="1" fontId="24" fillId="15" borderId="0" xfId="7" applyNumberFormat="1" applyFill="1" applyAlignment="1">
      <alignment horizontal="center"/>
    </xf>
    <xf numFmtId="3" fontId="24" fillId="15" borderId="0" xfId="7" applyNumberFormat="1" applyFill="1"/>
    <xf numFmtId="3" fontId="24" fillId="15" borderId="22" xfId="7" applyNumberFormat="1" applyFill="1" applyBorder="1"/>
    <xf numFmtId="169" fontId="24" fillId="15" borderId="0" xfId="7" applyNumberFormat="1" applyFill="1"/>
    <xf numFmtId="0" fontId="23" fillId="15" borderId="0" xfId="7" applyFont="1" applyFill="1"/>
    <xf numFmtId="0" fontId="23" fillId="15" borderId="22" xfId="7" applyFont="1" applyFill="1" applyBorder="1"/>
    <xf numFmtId="0" fontId="24" fillId="15" borderId="13" xfId="7" applyFill="1" applyBorder="1" applyAlignment="1">
      <alignment horizontal="left"/>
    </xf>
    <xf numFmtId="169" fontId="24" fillId="15" borderId="7" xfId="7" applyNumberFormat="1" applyFill="1" applyBorder="1"/>
    <xf numFmtId="0" fontId="23" fillId="15" borderId="7" xfId="7" applyFont="1" applyFill="1" applyBorder="1"/>
    <xf numFmtId="3" fontId="24" fillId="15" borderId="23" xfId="7" applyNumberFormat="1" applyFill="1" applyBorder="1"/>
    <xf numFmtId="0" fontId="43" fillId="0" borderId="0" xfId="7" applyFont="1" applyAlignment="1">
      <alignment horizontal="left"/>
    </xf>
    <xf numFmtId="172" fontId="74" fillId="19" borderId="0" xfId="65" applyNumberFormat="1" applyFont="1" applyFill="1"/>
    <xf numFmtId="0" fontId="81" fillId="0" borderId="0" xfId="14" applyFont="1" applyAlignment="1" applyProtection="1">
      <alignment horizontal="left"/>
      <protection hidden="1"/>
    </xf>
    <xf numFmtId="0" fontId="82" fillId="0" borderId="0" xfId="14" applyFont="1" applyAlignment="1" applyProtection="1">
      <alignment horizontal="left"/>
      <protection hidden="1"/>
    </xf>
    <xf numFmtId="0" fontId="82" fillId="0" borderId="0" xfId="7" applyFont="1" applyAlignment="1" applyProtection="1">
      <alignment horizontal="left"/>
      <protection hidden="1"/>
    </xf>
    <xf numFmtId="0" fontId="81" fillId="0" borderId="0" xfId="7" applyFont="1" applyAlignment="1" applyProtection="1">
      <alignment horizontal="left" vertical="center"/>
      <protection hidden="1"/>
    </xf>
    <xf numFmtId="168" fontId="82" fillId="0" borderId="0" xfId="7" applyNumberFormat="1" applyFont="1" applyAlignment="1" applyProtection="1">
      <alignment horizontal="left"/>
      <protection hidden="1"/>
    </xf>
    <xf numFmtId="173" fontId="81" fillId="0" borderId="0" xfId="14" applyNumberFormat="1" applyFont="1" applyAlignment="1" applyProtection="1">
      <alignment horizontal="left"/>
      <protection hidden="1"/>
    </xf>
    <xf numFmtId="166" fontId="81" fillId="0" borderId="0" xfId="7" applyNumberFormat="1" applyFont="1" applyAlignment="1" applyProtection="1">
      <alignment horizontal="left"/>
      <protection hidden="1"/>
    </xf>
    <xf numFmtId="0" fontId="82" fillId="14" borderId="0" xfId="14" applyFont="1" applyFill="1" applyAlignment="1" applyProtection="1">
      <alignment horizontal="left"/>
      <protection locked="0" hidden="1"/>
    </xf>
    <xf numFmtId="166" fontId="83" fillId="0" borderId="0" xfId="7" applyNumberFormat="1" applyFont="1" applyAlignment="1" applyProtection="1">
      <alignment horizontal="left"/>
      <protection hidden="1"/>
    </xf>
    <xf numFmtId="0" fontId="81" fillId="0" borderId="0" xfId="14" applyFont="1" applyProtection="1">
      <protection hidden="1"/>
    </xf>
    <xf numFmtId="3" fontId="82" fillId="0" borderId="0" xfId="14" applyNumberFormat="1" applyFont="1" applyAlignment="1" applyProtection="1">
      <alignment horizontal="left"/>
      <protection hidden="1"/>
    </xf>
    <xf numFmtId="0" fontId="84" fillId="0" borderId="0" xfId="14" applyFont="1" applyAlignment="1" applyProtection="1">
      <alignment horizontal="left"/>
      <protection hidden="1"/>
    </xf>
    <xf numFmtId="169" fontId="82" fillId="0" borderId="0" xfId="7" applyNumberFormat="1" applyFont="1" applyAlignment="1" applyProtection="1">
      <alignment horizontal="left"/>
      <protection hidden="1"/>
    </xf>
    <xf numFmtId="169" fontId="82" fillId="0" borderId="0" xfId="14" applyNumberFormat="1" applyFont="1" applyAlignment="1" applyProtection="1">
      <alignment horizontal="left"/>
      <protection hidden="1"/>
    </xf>
    <xf numFmtId="6" fontId="82" fillId="0" borderId="0" xfId="14" applyNumberFormat="1" applyFont="1" applyAlignment="1" applyProtection="1">
      <alignment horizontal="left"/>
      <protection hidden="1"/>
    </xf>
    <xf numFmtId="169" fontId="82" fillId="10" borderId="0" xfId="14" applyNumberFormat="1" applyFont="1" applyFill="1" applyAlignment="1" applyProtection="1">
      <alignment horizontal="left"/>
      <protection hidden="1"/>
    </xf>
    <xf numFmtId="169" fontId="82" fillId="22" borderId="0" xfId="7" applyNumberFormat="1" applyFont="1" applyFill="1" applyAlignment="1" applyProtection="1">
      <alignment horizontal="left"/>
      <protection hidden="1"/>
    </xf>
    <xf numFmtId="169" fontId="82" fillId="0" borderId="1" xfId="7" applyNumberFormat="1" applyFont="1" applyBorder="1" applyAlignment="1" applyProtection="1">
      <alignment horizontal="left"/>
      <protection hidden="1"/>
    </xf>
    <xf numFmtId="169" fontId="82" fillId="0" borderId="1" xfId="14" applyNumberFormat="1" applyFont="1" applyBorder="1" applyAlignment="1" applyProtection="1">
      <alignment horizontal="left"/>
      <protection hidden="1"/>
    </xf>
    <xf numFmtId="169" fontId="81" fillId="0" borderId="1" xfId="7" applyNumberFormat="1" applyFont="1" applyBorder="1" applyAlignment="1" applyProtection="1">
      <alignment horizontal="left"/>
      <protection hidden="1"/>
    </xf>
    <xf numFmtId="164" fontId="82" fillId="0" borderId="0" xfId="7" applyNumberFormat="1" applyFont="1" applyAlignment="1" applyProtection="1">
      <alignment horizontal="left"/>
      <protection hidden="1"/>
    </xf>
    <xf numFmtId="169" fontId="81" fillId="0" borderId="0" xfId="14" applyNumberFormat="1" applyFont="1" applyAlignment="1" applyProtection="1">
      <alignment horizontal="left"/>
      <protection hidden="1"/>
    </xf>
    <xf numFmtId="169" fontId="84" fillId="0" borderId="0" xfId="7" applyNumberFormat="1" applyFont="1" applyAlignment="1" applyProtection="1">
      <alignment horizontal="left"/>
      <protection hidden="1"/>
    </xf>
    <xf numFmtId="169" fontId="85" fillId="0" borderId="0" xfId="7" applyNumberFormat="1" applyFont="1" applyAlignment="1" applyProtection="1">
      <alignment horizontal="left"/>
      <protection hidden="1"/>
    </xf>
    <xf numFmtId="164" fontId="82" fillId="0" borderId="0" xfId="14" applyNumberFormat="1" applyFont="1" applyAlignment="1" applyProtection="1">
      <alignment horizontal="left"/>
      <protection hidden="1"/>
    </xf>
    <xf numFmtId="3" fontId="82" fillId="0" borderId="0" xfId="7" applyNumberFormat="1" applyFont="1" applyAlignment="1" applyProtection="1">
      <alignment horizontal="left"/>
      <protection hidden="1"/>
    </xf>
    <xf numFmtId="1" fontId="82" fillId="0" borderId="0" xfId="14" applyNumberFormat="1" applyFont="1" applyAlignment="1" applyProtection="1">
      <alignment horizontal="left"/>
      <protection hidden="1"/>
    </xf>
    <xf numFmtId="0" fontId="86" fillId="0" borderId="0" xfId="14" applyFont="1" applyAlignment="1" applyProtection="1">
      <alignment horizontal="left"/>
      <protection hidden="1"/>
    </xf>
    <xf numFmtId="0" fontId="85" fillId="0" borderId="0" xfId="14" applyFont="1" applyAlignment="1" applyProtection="1">
      <alignment horizontal="left"/>
      <protection hidden="1"/>
    </xf>
    <xf numFmtId="169" fontId="85" fillId="22" borderId="0" xfId="14" applyNumberFormat="1" applyFont="1" applyFill="1" applyAlignment="1" applyProtection="1">
      <alignment horizontal="left"/>
      <protection hidden="1"/>
    </xf>
    <xf numFmtId="169" fontId="87" fillId="0" borderId="0" xfId="7" applyNumberFormat="1" applyFont="1" applyAlignment="1" applyProtection="1">
      <alignment horizontal="left"/>
      <protection hidden="1"/>
    </xf>
    <xf numFmtId="169" fontId="88" fillId="0" borderId="0" xfId="7" applyNumberFormat="1" applyFont="1" applyAlignment="1" applyProtection="1">
      <alignment horizontal="left"/>
      <protection hidden="1"/>
    </xf>
    <xf numFmtId="0" fontId="82" fillId="0" borderId="51" xfId="14" applyFont="1" applyBorder="1" applyAlignment="1" applyProtection="1">
      <alignment horizontal="left"/>
      <protection hidden="1"/>
    </xf>
    <xf numFmtId="0" fontId="82" fillId="0" borderId="51" xfId="7" applyFont="1" applyBorder="1" applyAlignment="1" applyProtection="1">
      <alignment horizontal="left"/>
      <protection hidden="1"/>
    </xf>
    <xf numFmtId="0" fontId="82" fillId="0" borderId="31" xfId="14" applyFont="1" applyBorder="1" applyAlignment="1" applyProtection="1">
      <alignment horizontal="left"/>
      <protection hidden="1"/>
    </xf>
    <xf numFmtId="0" fontId="81" fillId="0" borderId="55" xfId="7" applyFont="1" applyBorder="1" applyAlignment="1" applyProtection="1">
      <alignment horizontal="left"/>
      <protection hidden="1"/>
    </xf>
    <xf numFmtId="0" fontId="81" fillId="0" borderId="32" xfId="7" applyFont="1" applyBorder="1" applyAlignment="1" applyProtection="1">
      <alignment horizontal="left"/>
      <protection hidden="1"/>
    </xf>
    <xf numFmtId="169" fontId="82" fillId="0" borderId="0" xfId="14" applyNumberFormat="1" applyFont="1" applyAlignment="1" applyProtection="1">
      <alignment horizontal="left" wrapText="1"/>
      <protection hidden="1"/>
    </xf>
    <xf numFmtId="0" fontId="82" fillId="0" borderId="34" xfId="14" applyFont="1" applyBorder="1" applyAlignment="1" applyProtection="1">
      <alignment horizontal="left"/>
      <protection hidden="1"/>
    </xf>
    <xf numFmtId="169" fontId="82" fillId="0" borderId="35" xfId="7" applyNumberFormat="1" applyFont="1" applyBorder="1" applyAlignment="1" applyProtection="1">
      <alignment horizontal="left"/>
      <protection hidden="1"/>
    </xf>
    <xf numFmtId="169" fontId="81" fillId="0" borderId="1" xfId="14" applyNumberFormat="1" applyFont="1" applyBorder="1" applyAlignment="1" applyProtection="1">
      <alignment horizontal="left"/>
      <protection hidden="1"/>
    </xf>
    <xf numFmtId="0" fontId="82" fillId="0" borderId="36" xfId="14" applyFont="1" applyBorder="1" applyAlignment="1" applyProtection="1">
      <alignment horizontal="left"/>
      <protection hidden="1"/>
    </xf>
    <xf numFmtId="169" fontId="81" fillId="0" borderId="51" xfId="7" applyNumberFormat="1" applyFont="1" applyBorder="1" applyAlignment="1" applyProtection="1">
      <alignment horizontal="left"/>
      <protection hidden="1"/>
    </xf>
    <xf numFmtId="169" fontId="82" fillId="0" borderId="51" xfId="7" applyNumberFormat="1" applyFont="1" applyBorder="1" applyAlignment="1" applyProtection="1">
      <alignment horizontal="left"/>
      <protection hidden="1"/>
    </xf>
    <xf numFmtId="169" fontId="82" fillId="0" borderId="37" xfId="7" applyNumberFormat="1" applyFont="1" applyBorder="1" applyAlignment="1" applyProtection="1">
      <alignment horizontal="left"/>
      <protection hidden="1"/>
    </xf>
    <xf numFmtId="169" fontId="81" fillId="0" borderId="0" xfId="7" applyNumberFormat="1" applyFont="1" applyAlignment="1" applyProtection="1">
      <alignment horizontal="left"/>
      <protection hidden="1"/>
    </xf>
    <xf numFmtId="0" fontId="81" fillId="0" borderId="70" xfId="14" applyFont="1" applyBorder="1" applyAlignment="1" applyProtection="1">
      <alignment horizontal="left"/>
      <protection hidden="1"/>
    </xf>
    <xf numFmtId="0" fontId="82" fillId="0" borderId="39" xfId="7" applyFont="1" applyBorder="1" applyAlignment="1" applyProtection="1">
      <alignment horizontal="left"/>
      <protection hidden="1"/>
    </xf>
    <xf numFmtId="0" fontId="81" fillId="0" borderId="71" xfId="14" applyFont="1" applyBorder="1" applyAlignment="1" applyProtection="1">
      <alignment horizontal="left"/>
      <protection hidden="1"/>
    </xf>
    <xf numFmtId="0" fontId="81" fillId="0" borderId="40" xfId="14" applyFont="1" applyBorder="1" applyAlignment="1" applyProtection="1">
      <alignment horizontal="left"/>
      <protection hidden="1"/>
    </xf>
    <xf numFmtId="169" fontId="82" fillId="0" borderId="41" xfId="14" applyNumberFormat="1" applyFont="1" applyBorder="1" applyAlignment="1" applyProtection="1">
      <alignment horizontal="left"/>
      <protection hidden="1"/>
    </xf>
    <xf numFmtId="169" fontId="81" fillId="0" borderId="42" xfId="14" applyNumberFormat="1" applyFont="1" applyBorder="1" applyAlignment="1" applyProtection="1">
      <alignment horizontal="left"/>
      <protection hidden="1"/>
    </xf>
    <xf numFmtId="169" fontId="82" fillId="0" borderId="43" xfId="14" applyNumberFormat="1" applyFont="1" applyBorder="1" applyAlignment="1" applyProtection="1">
      <alignment horizontal="left"/>
      <protection hidden="1"/>
    </xf>
    <xf numFmtId="169" fontId="82" fillId="0" borderId="29" xfId="14" applyNumberFormat="1" applyFont="1" applyBorder="1" applyAlignment="1" applyProtection="1">
      <alignment horizontal="left"/>
      <protection hidden="1"/>
    </xf>
    <xf numFmtId="9" fontId="81" fillId="0" borderId="44" xfId="14" applyNumberFormat="1" applyFont="1" applyBorder="1" applyAlignment="1" applyProtection="1">
      <alignment horizontal="left"/>
      <protection hidden="1"/>
    </xf>
    <xf numFmtId="0" fontId="82" fillId="0" borderId="0" xfId="7" applyFont="1" applyAlignment="1" applyProtection="1">
      <alignment horizontal="left" wrapText="1"/>
      <protection hidden="1"/>
    </xf>
    <xf numFmtId="169" fontId="89" fillId="0" borderId="0" xfId="7" applyNumberFormat="1" applyFont="1" applyAlignment="1">
      <alignment horizontal="left"/>
    </xf>
    <xf numFmtId="0" fontId="81" fillId="0" borderId="42" xfId="7" applyFont="1" applyBorder="1" applyAlignment="1" applyProtection="1">
      <alignment horizontal="left"/>
      <protection hidden="1"/>
    </xf>
    <xf numFmtId="169" fontId="85" fillId="0" borderId="0" xfId="16" applyNumberFormat="1" applyFont="1" applyAlignment="1">
      <alignment horizontal="left"/>
    </xf>
    <xf numFmtId="0" fontId="82" fillId="0" borderId="43" xfId="14" applyFont="1" applyBorder="1" applyAlignment="1" applyProtection="1">
      <alignment horizontal="left"/>
      <protection hidden="1"/>
    </xf>
    <xf numFmtId="3" fontId="82" fillId="0" borderId="44" xfId="14" applyNumberFormat="1" applyFont="1" applyBorder="1" applyAlignment="1" applyProtection="1">
      <alignment horizontal="left"/>
      <protection hidden="1"/>
    </xf>
    <xf numFmtId="169" fontId="82" fillId="0" borderId="45" xfId="14" applyNumberFormat="1" applyFont="1" applyBorder="1" applyAlignment="1" applyProtection="1">
      <alignment horizontal="left"/>
      <protection hidden="1"/>
    </xf>
    <xf numFmtId="169" fontId="82" fillId="0" borderId="38" xfId="14" applyNumberFormat="1" applyFont="1" applyBorder="1" applyAlignment="1" applyProtection="1">
      <alignment horizontal="left"/>
      <protection hidden="1"/>
    </xf>
    <xf numFmtId="9" fontId="81" fillId="0" borderId="72" xfId="14" applyNumberFormat="1" applyFont="1" applyBorder="1" applyAlignment="1" applyProtection="1">
      <alignment horizontal="left"/>
      <protection hidden="1"/>
    </xf>
    <xf numFmtId="169" fontId="82" fillId="0" borderId="73" xfId="14" applyNumberFormat="1" applyFont="1" applyBorder="1" applyAlignment="1" applyProtection="1">
      <alignment horizontal="left"/>
      <protection hidden="1"/>
    </xf>
    <xf numFmtId="169" fontId="82" fillId="0" borderId="74" xfId="14" applyNumberFormat="1" applyFont="1" applyBorder="1" applyAlignment="1" applyProtection="1">
      <alignment horizontal="left"/>
      <protection hidden="1"/>
    </xf>
    <xf numFmtId="9" fontId="81" fillId="0" borderId="75" xfId="14" applyNumberFormat="1" applyFont="1" applyBorder="1" applyAlignment="1" applyProtection="1">
      <alignment horizontal="left"/>
      <protection hidden="1"/>
    </xf>
    <xf numFmtId="9" fontId="81" fillId="0" borderId="0" xfId="14" applyNumberFormat="1" applyFont="1" applyAlignment="1" applyProtection="1">
      <alignment horizontal="left"/>
      <protection hidden="1"/>
    </xf>
    <xf numFmtId="169" fontId="81" fillId="0" borderId="40" xfId="14" applyNumberFormat="1" applyFont="1" applyBorder="1" applyAlignment="1" applyProtection="1">
      <alignment horizontal="left"/>
      <protection hidden="1"/>
    </xf>
    <xf numFmtId="9" fontId="81" fillId="0" borderId="42" xfId="14" applyNumberFormat="1" applyFont="1" applyBorder="1" applyAlignment="1" applyProtection="1">
      <alignment horizontal="left"/>
      <protection hidden="1"/>
    </xf>
    <xf numFmtId="0" fontId="82" fillId="0" borderId="46" xfId="14" applyFont="1" applyBorder="1" applyAlignment="1" applyProtection="1">
      <alignment horizontal="left"/>
      <protection hidden="1"/>
    </xf>
    <xf numFmtId="3" fontId="82" fillId="0" borderId="48" xfId="14" applyNumberFormat="1" applyFont="1" applyBorder="1" applyAlignment="1" applyProtection="1">
      <alignment horizontal="left"/>
      <protection hidden="1"/>
    </xf>
    <xf numFmtId="169" fontId="82" fillId="0" borderId="46" xfId="14" applyNumberFormat="1" applyFont="1" applyBorder="1" applyAlignment="1" applyProtection="1">
      <alignment horizontal="left"/>
      <protection hidden="1"/>
    </xf>
    <xf numFmtId="169" fontId="82" fillId="0" borderId="47" xfId="14" applyNumberFormat="1" applyFont="1" applyBorder="1" applyAlignment="1" applyProtection="1">
      <alignment horizontal="left"/>
      <protection hidden="1"/>
    </xf>
    <xf numFmtId="169" fontId="81" fillId="0" borderId="48" xfId="14" applyNumberFormat="1" applyFont="1" applyBorder="1" applyAlignment="1" applyProtection="1">
      <alignment horizontal="left"/>
      <protection hidden="1"/>
    </xf>
    <xf numFmtId="0" fontId="90" fillId="11" borderId="24" xfId="7" applyFont="1" applyFill="1" applyBorder="1" applyAlignment="1" applyProtection="1">
      <alignment horizontal="left"/>
      <protection hidden="1"/>
    </xf>
    <xf numFmtId="0" fontId="82" fillId="0" borderId="49" xfId="7" applyFont="1" applyBorder="1" applyAlignment="1" applyProtection="1">
      <alignment horizontal="left"/>
      <protection hidden="1"/>
    </xf>
    <xf numFmtId="0" fontId="81" fillId="0" borderId="50" xfId="7" applyFont="1" applyBorder="1" applyAlignment="1" applyProtection="1">
      <alignment horizontal="left" vertical="center"/>
      <protection hidden="1"/>
    </xf>
    <xf numFmtId="0" fontId="81" fillId="0" borderId="4" xfId="7" applyFont="1" applyBorder="1" applyAlignment="1" applyProtection="1">
      <alignment horizontal="left" vertical="center"/>
      <protection hidden="1"/>
    </xf>
    <xf numFmtId="0" fontId="81" fillId="0" borderId="25" xfId="7" applyFont="1" applyBorder="1" applyAlignment="1" applyProtection="1">
      <alignment horizontal="left" vertical="center"/>
      <protection hidden="1"/>
    </xf>
    <xf numFmtId="0" fontId="81" fillId="11" borderId="13" xfId="7" applyFont="1" applyFill="1" applyBorder="1" applyAlignment="1" applyProtection="1">
      <alignment horizontal="left"/>
      <protection hidden="1"/>
    </xf>
    <xf numFmtId="0" fontId="82" fillId="0" borderId="33" xfId="7" applyFont="1" applyBorder="1" applyAlignment="1" applyProtection="1">
      <alignment horizontal="left"/>
      <protection hidden="1"/>
    </xf>
    <xf numFmtId="0" fontId="81" fillId="0" borderId="36" xfId="7" applyFont="1" applyBorder="1" applyAlignment="1" applyProtection="1">
      <alignment horizontal="left" vertical="center"/>
      <protection hidden="1"/>
    </xf>
    <xf numFmtId="0" fontId="81" fillId="0" borderId="51" xfId="7" applyFont="1" applyBorder="1" applyAlignment="1" applyProtection="1">
      <alignment horizontal="left" vertical="center"/>
      <protection hidden="1"/>
    </xf>
    <xf numFmtId="0" fontId="81" fillId="0" borderId="52" xfId="7" applyFont="1" applyBorder="1" applyAlignment="1" applyProtection="1">
      <alignment horizontal="left" vertical="center"/>
      <protection hidden="1"/>
    </xf>
    <xf numFmtId="0" fontId="82" fillId="0" borderId="29" xfId="7" applyFont="1" applyBorder="1" applyAlignment="1" applyProtection="1">
      <alignment horizontal="left"/>
      <protection hidden="1"/>
    </xf>
    <xf numFmtId="169" fontId="82" fillId="0" borderId="29" xfId="7" applyNumberFormat="1" applyFont="1" applyBorder="1" applyAlignment="1" applyProtection="1">
      <alignment horizontal="left"/>
      <protection hidden="1"/>
    </xf>
    <xf numFmtId="0" fontId="82" fillId="0" borderId="2" xfId="7" applyFont="1" applyBorder="1" applyAlignment="1" applyProtection="1">
      <alignment horizontal="left"/>
      <protection hidden="1"/>
    </xf>
    <xf numFmtId="0" fontId="82" fillId="0" borderId="1" xfId="7" applyFont="1" applyBorder="1" applyAlignment="1" applyProtection="1">
      <alignment horizontal="left"/>
      <protection hidden="1"/>
    </xf>
    <xf numFmtId="0" fontId="82" fillId="0" borderId="53" xfId="7" applyFont="1" applyBorder="1" applyAlignment="1" applyProtection="1">
      <alignment horizontal="left"/>
      <protection hidden="1"/>
    </xf>
    <xf numFmtId="0" fontId="82" fillId="0" borderId="29" xfId="7" applyFont="1" applyBorder="1" applyAlignment="1" applyProtection="1">
      <alignment horizontal="left" wrapText="1"/>
      <protection hidden="1"/>
    </xf>
    <xf numFmtId="0" fontId="91" fillId="0" borderId="2" xfId="7" applyFont="1" applyBorder="1" applyAlignment="1" applyProtection="1">
      <alignment horizontal="left"/>
      <protection hidden="1"/>
    </xf>
    <xf numFmtId="0" fontId="91" fillId="0" borderId="1" xfId="7" applyFont="1" applyBorder="1" applyAlignment="1" applyProtection="1">
      <alignment horizontal="left"/>
      <protection hidden="1"/>
    </xf>
    <xf numFmtId="0" fontId="91" fillId="0" borderId="53" xfId="7" applyFont="1" applyBorder="1" applyAlignment="1" applyProtection="1">
      <alignment horizontal="left"/>
      <protection hidden="1"/>
    </xf>
    <xf numFmtId="169" fontId="82" fillId="0" borderId="54" xfId="14" applyNumberFormat="1" applyFont="1" applyBorder="1" applyAlignment="1" applyProtection="1">
      <alignment horizontal="left"/>
      <protection hidden="1"/>
    </xf>
    <xf numFmtId="0" fontId="82" fillId="11" borderId="2" xfId="7" applyFont="1" applyFill="1" applyBorder="1" applyAlignment="1" applyProtection="1">
      <alignment horizontal="left"/>
      <protection hidden="1"/>
    </xf>
    <xf numFmtId="0" fontId="82" fillId="11" borderId="1" xfId="7" applyFont="1" applyFill="1" applyBorder="1" applyAlignment="1" applyProtection="1">
      <alignment horizontal="left"/>
      <protection hidden="1"/>
    </xf>
    <xf numFmtId="0" fontId="82" fillId="11" borderId="53" xfId="7" applyFont="1" applyFill="1" applyBorder="1" applyAlignment="1" applyProtection="1">
      <alignment horizontal="left"/>
      <protection hidden="1"/>
    </xf>
    <xf numFmtId="169" fontId="82" fillId="9" borderId="54" xfId="14" applyNumberFormat="1" applyFont="1" applyFill="1" applyBorder="1" applyAlignment="1" applyProtection="1">
      <alignment horizontal="left"/>
      <protection hidden="1"/>
    </xf>
    <xf numFmtId="0" fontId="82" fillId="9" borderId="30" xfId="7" applyFont="1" applyFill="1" applyBorder="1" applyAlignment="1" applyProtection="1">
      <alignment horizontal="left"/>
      <protection hidden="1"/>
    </xf>
    <xf numFmtId="169" fontId="82" fillId="9" borderId="30" xfId="7" applyNumberFormat="1" applyFont="1" applyFill="1" applyBorder="1" applyAlignment="1" applyProtection="1">
      <alignment horizontal="left"/>
      <protection hidden="1"/>
    </xf>
    <xf numFmtId="0" fontId="82" fillId="9" borderId="31" xfId="7" applyFont="1" applyFill="1" applyBorder="1" applyAlignment="1" applyProtection="1">
      <alignment horizontal="left"/>
      <protection hidden="1"/>
    </xf>
    <xf numFmtId="0" fontId="82" fillId="9" borderId="55" xfId="7" applyFont="1" applyFill="1" applyBorder="1" applyAlignment="1" applyProtection="1">
      <alignment horizontal="left"/>
      <protection hidden="1"/>
    </xf>
    <xf numFmtId="0" fontId="82" fillId="9" borderId="56" xfId="7" applyFont="1" applyFill="1" applyBorder="1" applyAlignment="1" applyProtection="1">
      <alignment horizontal="left"/>
      <protection hidden="1"/>
    </xf>
    <xf numFmtId="0" fontId="82" fillId="0" borderId="46" xfId="7" applyFont="1" applyBorder="1" applyAlignment="1" applyProtection="1">
      <alignment horizontal="left"/>
      <protection hidden="1"/>
    </xf>
    <xf numFmtId="0" fontId="82" fillId="0" borderId="47" xfId="7" applyFont="1" applyBorder="1" applyAlignment="1" applyProtection="1">
      <alignment horizontal="left" wrapText="1"/>
      <protection hidden="1"/>
    </xf>
    <xf numFmtId="0" fontId="82" fillId="0" borderId="47" xfId="7" applyFont="1" applyBorder="1" applyAlignment="1" applyProtection="1">
      <alignment horizontal="left"/>
      <protection hidden="1"/>
    </xf>
    <xf numFmtId="0" fontId="82" fillId="0" borderId="57" xfId="7" applyFont="1" applyBorder="1" applyAlignment="1" applyProtection="1">
      <alignment horizontal="left"/>
      <protection hidden="1"/>
    </xf>
    <xf numFmtId="0" fontId="82" fillId="0" borderId="58" xfId="7" applyFont="1" applyBorder="1" applyAlignment="1" applyProtection="1">
      <alignment horizontal="left"/>
      <protection hidden="1"/>
    </xf>
    <xf numFmtId="0" fontId="82" fillId="0" borderId="59" xfId="7" applyFont="1" applyBorder="1" applyAlignment="1" applyProtection="1">
      <alignment horizontal="left"/>
      <protection hidden="1"/>
    </xf>
    <xf numFmtId="0" fontId="81" fillId="12" borderId="40" xfId="7" applyFont="1" applyFill="1" applyBorder="1" applyAlignment="1" applyProtection="1">
      <alignment horizontal="left" wrapText="1"/>
      <protection hidden="1"/>
    </xf>
    <xf numFmtId="0" fontId="81" fillId="0" borderId="41" xfId="7" applyFont="1" applyBorder="1" applyAlignment="1" applyProtection="1">
      <alignment horizontal="left"/>
      <protection hidden="1"/>
    </xf>
    <xf numFmtId="0" fontId="82" fillId="0" borderId="41" xfId="7" applyFont="1" applyBorder="1" applyAlignment="1" applyProtection="1">
      <alignment horizontal="left"/>
      <protection hidden="1"/>
    </xf>
    <xf numFmtId="0" fontId="81" fillId="0" borderId="41" xfId="7" applyFont="1" applyBorder="1" applyAlignment="1" applyProtection="1">
      <alignment horizontal="left" wrapText="1"/>
      <protection hidden="1"/>
    </xf>
    <xf numFmtId="0" fontId="82" fillId="12" borderId="43" xfId="7" applyFont="1" applyFill="1" applyBorder="1" applyAlignment="1" applyProtection="1">
      <alignment horizontal="left"/>
      <protection hidden="1"/>
    </xf>
    <xf numFmtId="169" fontId="82" fillId="0" borderId="44" xfId="7" applyNumberFormat="1" applyFont="1" applyBorder="1" applyAlignment="1" applyProtection="1">
      <alignment horizontal="left"/>
      <protection hidden="1"/>
    </xf>
    <xf numFmtId="0" fontId="92" fillId="0" borderId="0" xfId="7" applyFont="1" applyAlignment="1" applyProtection="1">
      <alignment horizontal="left"/>
      <protection hidden="1"/>
    </xf>
    <xf numFmtId="169" fontId="82" fillId="0" borderId="0" xfId="16" applyNumberFormat="1" applyFont="1" applyAlignment="1" applyProtection="1">
      <alignment horizontal="left"/>
      <protection hidden="1"/>
    </xf>
    <xf numFmtId="0" fontId="82" fillId="12" borderId="54" xfId="7" applyFont="1" applyFill="1" applyBorder="1" applyAlignment="1" applyProtection="1">
      <alignment horizontal="left"/>
      <protection hidden="1"/>
    </xf>
    <xf numFmtId="169" fontId="82" fillId="0" borderId="30" xfId="7" applyNumberFormat="1" applyFont="1" applyBorder="1" applyAlignment="1" applyProtection="1">
      <alignment horizontal="left"/>
      <protection hidden="1"/>
    </xf>
    <xf numFmtId="0" fontId="82" fillId="0" borderId="30" xfId="7" applyFont="1" applyBorder="1" applyAlignment="1" applyProtection="1">
      <alignment horizontal="left"/>
      <protection hidden="1"/>
    </xf>
    <xf numFmtId="169" fontId="82" fillId="0" borderId="60" xfId="7" applyNumberFormat="1" applyFont="1" applyBorder="1" applyAlignment="1" applyProtection="1">
      <alignment horizontal="left"/>
      <protection hidden="1"/>
    </xf>
    <xf numFmtId="0" fontId="82" fillId="10" borderId="13" xfId="7" applyFont="1" applyFill="1" applyBorder="1" applyAlignment="1" applyProtection="1">
      <alignment horizontal="left"/>
      <protection hidden="1"/>
    </xf>
    <xf numFmtId="169" fontId="82" fillId="10" borderId="0" xfId="7" applyNumberFormat="1" applyFont="1" applyFill="1" applyAlignment="1" applyProtection="1">
      <alignment horizontal="left"/>
      <protection hidden="1"/>
    </xf>
    <xf numFmtId="0" fontId="82" fillId="10" borderId="0" xfId="7" applyFont="1" applyFill="1" applyAlignment="1" applyProtection="1">
      <alignment horizontal="left"/>
      <protection hidden="1"/>
    </xf>
    <xf numFmtId="0" fontId="82" fillId="10" borderId="22" xfId="7" applyFont="1" applyFill="1" applyBorder="1" applyAlignment="1" applyProtection="1">
      <alignment horizontal="left"/>
      <protection hidden="1"/>
    </xf>
    <xf numFmtId="169" fontId="82" fillId="12" borderId="29" xfId="7" applyNumberFormat="1" applyFont="1" applyFill="1" applyBorder="1" applyAlignment="1" applyProtection="1">
      <alignment horizontal="left"/>
      <protection hidden="1"/>
    </xf>
    <xf numFmtId="0" fontId="82" fillId="12" borderId="46" xfId="7" applyFont="1" applyFill="1" applyBorder="1" applyAlignment="1" applyProtection="1">
      <alignment horizontal="left"/>
      <protection hidden="1"/>
    </xf>
    <xf numFmtId="169" fontId="82" fillId="12" borderId="47" xfId="7" applyNumberFormat="1" applyFont="1" applyFill="1" applyBorder="1" applyAlignment="1" applyProtection="1">
      <alignment horizontal="left"/>
      <protection hidden="1"/>
    </xf>
    <xf numFmtId="169" fontId="82" fillId="0" borderId="47" xfId="7" applyNumberFormat="1" applyFont="1" applyBorder="1" applyAlignment="1" applyProtection="1">
      <alignment horizontal="left"/>
      <protection hidden="1"/>
    </xf>
    <xf numFmtId="169" fontId="82" fillId="0" borderId="48" xfId="7" applyNumberFormat="1" applyFont="1" applyBorder="1" applyAlignment="1" applyProtection="1">
      <alignment horizontal="left"/>
      <protection hidden="1"/>
    </xf>
    <xf numFmtId="0" fontId="82" fillId="0" borderId="0" xfId="7" applyFont="1" applyAlignment="1" applyProtection="1">
      <alignment horizontal="left" vertical="center"/>
      <protection hidden="1"/>
    </xf>
    <xf numFmtId="0" fontId="82" fillId="0" borderId="2" xfId="7" applyFont="1" applyBorder="1" applyAlignment="1" applyProtection="1">
      <alignment horizontal="left" vertical="center"/>
      <protection hidden="1"/>
    </xf>
    <xf numFmtId="0" fontId="82" fillId="0" borderId="1" xfId="7" applyFont="1" applyBorder="1" applyAlignment="1" applyProtection="1">
      <alignment horizontal="left" vertical="center" wrapText="1"/>
      <protection hidden="1"/>
    </xf>
    <xf numFmtId="0" fontId="82" fillId="0" borderId="3" xfId="7" applyFont="1" applyBorder="1" applyAlignment="1" applyProtection="1">
      <alignment horizontal="left" vertical="center" wrapText="1"/>
      <protection hidden="1"/>
    </xf>
    <xf numFmtId="0" fontId="82" fillId="0" borderId="0" xfId="7" applyFont="1" applyAlignment="1" applyProtection="1">
      <alignment horizontal="left" vertical="center" wrapText="1"/>
      <protection hidden="1"/>
    </xf>
    <xf numFmtId="0" fontId="82" fillId="0" borderId="1" xfId="7" applyFont="1" applyBorder="1" applyAlignment="1" applyProtection="1">
      <alignment horizontal="left" vertical="center"/>
      <protection hidden="1"/>
    </xf>
    <xf numFmtId="0" fontId="91" fillId="0" borderId="1" xfId="7" applyFont="1" applyBorder="1" applyAlignment="1" applyProtection="1">
      <alignment horizontal="left" vertical="center"/>
      <protection hidden="1"/>
    </xf>
    <xf numFmtId="0" fontId="91" fillId="0" borderId="0" xfId="7" applyFont="1" applyAlignment="1" applyProtection="1">
      <alignment horizontal="left" vertical="center"/>
      <protection hidden="1"/>
    </xf>
    <xf numFmtId="0" fontId="91" fillId="0" borderId="2" xfId="7" applyFont="1" applyBorder="1" applyAlignment="1" applyProtection="1">
      <alignment horizontal="left" vertical="center" wrapText="1"/>
      <protection hidden="1"/>
    </xf>
    <xf numFmtId="0" fontId="91" fillId="0" borderId="1" xfId="7" applyFont="1" applyBorder="1" applyAlignment="1" applyProtection="1">
      <alignment horizontal="left" vertical="center" wrapText="1"/>
      <protection hidden="1"/>
    </xf>
    <xf numFmtId="0" fontId="91" fillId="0" borderId="3" xfId="7" applyFont="1" applyBorder="1" applyAlignment="1" applyProtection="1">
      <alignment horizontal="left" vertical="center" wrapText="1"/>
      <protection hidden="1"/>
    </xf>
    <xf numFmtId="169" fontId="7" fillId="0" borderId="0" xfId="63" applyNumberFormat="1" applyFont="1" applyAlignment="1">
      <alignment horizontal="center"/>
    </xf>
    <xf numFmtId="0" fontId="72" fillId="0" borderId="68" xfId="0" applyFont="1" applyBorder="1" applyAlignment="1">
      <alignment horizontal="center" vertical="center" wrapText="1"/>
    </xf>
    <xf numFmtId="0" fontId="72" fillId="0" borderId="28" xfId="0" applyFont="1" applyBorder="1" applyAlignment="1">
      <alignment horizontal="center" vertical="center" wrapText="1"/>
    </xf>
    <xf numFmtId="0" fontId="69" fillId="0" borderId="69" xfId="0" applyFont="1" applyBorder="1" applyAlignment="1">
      <alignment vertical="center" wrapText="1"/>
    </xf>
    <xf numFmtId="0" fontId="69" fillId="0" borderId="23" xfId="0" applyFont="1" applyBorder="1" applyAlignment="1">
      <alignment vertical="center" wrapText="1"/>
    </xf>
    <xf numFmtId="6" fontId="69" fillId="0" borderId="23" xfId="0" applyNumberFormat="1" applyFont="1" applyBorder="1" applyAlignment="1">
      <alignment horizontal="center" vertical="center" wrapText="1"/>
    </xf>
    <xf numFmtId="8" fontId="69" fillId="0" borderId="23" xfId="0" applyNumberFormat="1" applyFont="1" applyBorder="1" applyAlignment="1">
      <alignment horizontal="center" vertical="center" wrapText="1"/>
    </xf>
    <xf numFmtId="169" fontId="0" fillId="0" borderId="58" xfId="0" applyNumberFormat="1" applyBorder="1" applyAlignment="1">
      <alignment horizontal="center"/>
    </xf>
    <xf numFmtId="8" fontId="69" fillId="0" borderId="0" xfId="0" applyNumberFormat="1" applyFont="1" applyAlignment="1">
      <alignment horizontal="center"/>
    </xf>
    <xf numFmtId="0" fontId="38" fillId="11" borderId="0" xfId="7" applyFont="1" applyFill="1"/>
    <xf numFmtId="0" fontId="35" fillId="11" borderId="0" xfId="7" applyFont="1" applyFill="1" applyAlignment="1">
      <alignment horizontal="centerContinuous"/>
    </xf>
    <xf numFmtId="0" fontId="35" fillId="11" borderId="0" xfId="7" quotePrefix="1" applyFont="1" applyFill="1" applyAlignment="1">
      <alignment horizontal="centerContinuous"/>
    </xf>
    <xf numFmtId="0" fontId="24" fillId="11" borderId="0" xfId="7" applyFill="1" applyAlignment="1">
      <alignment horizontal="left"/>
    </xf>
    <xf numFmtId="0" fontId="37" fillId="15" borderId="4" xfId="7" applyFont="1" applyFill="1" applyBorder="1"/>
    <xf numFmtId="0" fontId="35" fillId="15" borderId="0" xfId="7" applyFont="1" applyFill="1" applyAlignment="1">
      <alignment horizontal="left"/>
    </xf>
    <xf numFmtId="167" fontId="35" fillId="15" borderId="13" xfId="7" applyNumberFormat="1" applyFont="1" applyFill="1" applyBorder="1" applyAlignment="1">
      <alignment horizontal="left"/>
    </xf>
    <xf numFmtId="167" fontId="35" fillId="15" borderId="0" xfId="7" applyNumberFormat="1" applyFont="1" applyFill="1"/>
    <xf numFmtId="0" fontId="37" fillId="15" borderId="24" xfId="7" applyFont="1" applyFill="1" applyBorder="1" applyAlignment="1">
      <alignment horizontal="left"/>
    </xf>
    <xf numFmtId="0" fontId="37" fillId="15" borderId="25" xfId="7" applyFont="1" applyFill="1" applyBorder="1"/>
    <xf numFmtId="0" fontId="17" fillId="15" borderId="24" xfId="7" applyFont="1" applyFill="1" applyBorder="1" applyAlignment="1">
      <alignment horizontal="right"/>
    </xf>
    <xf numFmtId="0" fontId="17" fillId="15" borderId="4" xfId="7" applyFont="1" applyFill="1" applyBorder="1" applyAlignment="1">
      <alignment horizontal="right"/>
    </xf>
    <xf numFmtId="0" fontId="17" fillId="15" borderId="25" xfId="7" applyFont="1" applyFill="1" applyBorder="1" applyAlignment="1">
      <alignment horizontal="right"/>
    </xf>
    <xf numFmtId="167" fontId="35" fillId="15" borderId="16" xfId="7" applyNumberFormat="1" applyFont="1" applyFill="1" applyBorder="1"/>
    <xf numFmtId="0" fontId="18" fillId="15" borderId="13" xfId="7" applyFont="1" applyFill="1" applyBorder="1"/>
    <xf numFmtId="0" fontId="18" fillId="15" borderId="0" xfId="7" applyFont="1" applyFill="1"/>
    <xf numFmtId="0" fontId="18" fillId="15" borderId="22" xfId="7" applyFont="1" applyFill="1" applyBorder="1"/>
    <xf numFmtId="167" fontId="24" fillId="11" borderId="7" xfId="7" applyNumberFormat="1" applyFill="1" applyBorder="1" applyAlignment="1">
      <alignment horizontal="fill"/>
    </xf>
    <xf numFmtId="165" fontId="35" fillId="15" borderId="0" xfId="7" applyNumberFormat="1" applyFont="1" applyFill="1"/>
    <xf numFmtId="165" fontId="35" fillId="15" borderId="22" xfId="7" applyNumberFormat="1" applyFont="1" applyFill="1" applyBorder="1"/>
    <xf numFmtId="0" fontId="32" fillId="11" borderId="0" xfId="7" applyFont="1" applyFill="1"/>
    <xf numFmtId="165" fontId="18" fillId="15" borderId="0" xfId="7" applyNumberFormat="1" applyFont="1" applyFill="1"/>
    <xf numFmtId="165" fontId="18" fillId="15" borderId="22" xfId="7" applyNumberFormat="1" applyFont="1" applyFill="1" applyBorder="1"/>
    <xf numFmtId="167" fontId="24" fillId="15" borderId="13" xfId="7" applyNumberFormat="1" applyFill="1" applyBorder="1"/>
    <xf numFmtId="168" fontId="35" fillId="15" borderId="0" xfId="7" applyNumberFormat="1" applyFont="1" applyFill="1" applyAlignment="1">
      <alignment horizontal="right"/>
    </xf>
    <xf numFmtId="168" fontId="35" fillId="15" borderId="0" xfId="7" quotePrefix="1" applyNumberFormat="1" applyFont="1" applyFill="1" applyAlignment="1">
      <alignment horizontal="right"/>
    </xf>
    <xf numFmtId="168" fontId="35" fillId="15" borderId="0" xfId="7" applyNumberFormat="1" applyFont="1" applyFill="1" applyAlignment="1">
      <alignment horizontal="right" wrapText="1"/>
    </xf>
    <xf numFmtId="168" fontId="35" fillId="15" borderId="13" xfId="7" applyNumberFormat="1" applyFont="1" applyFill="1" applyBorder="1" applyAlignment="1">
      <alignment horizontal="right"/>
    </xf>
    <xf numFmtId="167" fontId="24" fillId="15" borderId="16" xfId="7" applyNumberFormat="1" applyFill="1" applyBorder="1"/>
    <xf numFmtId="167" fontId="24" fillId="15" borderId="7" xfId="7" applyNumberFormat="1" applyFill="1" applyBorder="1" applyAlignment="1">
      <alignment horizontal="fill"/>
    </xf>
    <xf numFmtId="167" fontId="24" fillId="15" borderId="16" xfId="7" applyNumberFormat="1" applyFill="1" applyBorder="1" applyAlignment="1">
      <alignment horizontal="fill"/>
    </xf>
    <xf numFmtId="167" fontId="24" fillId="15" borderId="24" xfId="7" applyNumberFormat="1" applyFill="1" applyBorder="1" applyAlignment="1">
      <alignment horizontal="fill"/>
    </xf>
    <xf numFmtId="167" fontId="24" fillId="15" borderId="4" xfId="7" applyNumberFormat="1" applyFill="1" applyBorder="1" applyAlignment="1">
      <alignment horizontal="fill"/>
    </xf>
    <xf numFmtId="167" fontId="24" fillId="15" borderId="25" xfId="7" applyNumberFormat="1" applyFill="1" applyBorder="1" applyAlignment="1">
      <alignment horizontal="fill"/>
    </xf>
    <xf numFmtId="0" fontId="35" fillId="15" borderId="16" xfId="7" applyFont="1" applyFill="1" applyBorder="1" applyAlignment="1">
      <alignment horizontal="left"/>
    </xf>
    <xf numFmtId="165" fontId="35" fillId="15" borderId="7" xfId="7" applyNumberFormat="1" applyFont="1" applyFill="1" applyBorder="1"/>
    <xf numFmtId="0" fontId="18" fillId="15" borderId="16" xfId="7" applyFont="1" applyFill="1" applyBorder="1" applyAlignment="1">
      <alignment horizontal="right"/>
    </xf>
    <xf numFmtId="165" fontId="18" fillId="15" borderId="7" xfId="7" applyNumberFormat="1" applyFont="1" applyFill="1" applyBorder="1"/>
    <xf numFmtId="0" fontId="18" fillId="15" borderId="23" xfId="7" applyFont="1" applyFill="1" applyBorder="1"/>
    <xf numFmtId="168" fontId="24" fillId="15" borderId="0" xfId="7" applyNumberFormat="1" applyFill="1" applyAlignment="1">
      <alignment horizontal="left"/>
    </xf>
    <xf numFmtId="172" fontId="74" fillId="20" borderId="0" xfId="9" applyNumberFormat="1" applyFont="1" applyFill="1"/>
    <xf numFmtId="3" fontId="24" fillId="11" borderId="0" xfId="7" applyNumberFormat="1" applyFill="1"/>
    <xf numFmtId="0" fontId="7" fillId="11" borderId="0" xfId="7" applyFont="1" applyFill="1"/>
    <xf numFmtId="166" fontId="24" fillId="11" borderId="0" xfId="7" applyNumberFormat="1" applyFill="1"/>
    <xf numFmtId="168" fontId="24" fillId="11" borderId="0" xfId="7" applyNumberFormat="1" applyFill="1"/>
    <xf numFmtId="0" fontId="24" fillId="15" borderId="13" xfId="7" quotePrefix="1" applyFill="1" applyBorder="1"/>
    <xf numFmtId="0" fontId="35" fillId="15" borderId="13" xfId="7" applyFont="1" applyFill="1" applyBorder="1" applyAlignment="1">
      <alignment horizontal="right"/>
    </xf>
    <xf numFmtId="0" fontId="93" fillId="23" borderId="13" xfId="7" applyFont="1" applyFill="1" applyBorder="1" applyAlignment="1">
      <alignment horizontal="right"/>
    </xf>
    <xf numFmtId="0" fontId="94" fillId="23" borderId="0" xfId="7" applyFont="1" applyFill="1" applyAlignment="1">
      <alignment horizontal="left"/>
    </xf>
    <xf numFmtId="168" fontId="94" fillId="23" borderId="0" xfId="7" applyNumberFormat="1" applyFont="1" applyFill="1" applyAlignment="1">
      <alignment horizontal="center"/>
    </xf>
    <xf numFmtId="3" fontId="95" fillId="23" borderId="0" xfId="7" applyNumberFormat="1" applyFont="1" applyFill="1"/>
    <xf numFmtId="3" fontId="94" fillId="23" borderId="22" xfId="7" applyNumberFormat="1" applyFont="1" applyFill="1" applyBorder="1"/>
    <xf numFmtId="0" fontId="94" fillId="23" borderId="22" xfId="7" applyFont="1" applyFill="1" applyBorder="1"/>
    <xf numFmtId="0" fontId="35" fillId="15" borderId="16" xfId="7" quotePrefix="1" applyFont="1" applyFill="1" applyBorder="1"/>
    <xf numFmtId="168" fontId="24" fillId="15" borderId="7" xfId="7" applyNumberFormat="1" applyFill="1" applyBorder="1" applyAlignment="1">
      <alignment horizontal="center"/>
    </xf>
    <xf numFmtId="3" fontId="24" fillId="15" borderId="7" xfId="7" applyNumberFormat="1" applyFill="1" applyBorder="1"/>
    <xf numFmtId="3" fontId="24" fillId="15" borderId="7" xfId="7" quotePrefix="1" applyNumberFormat="1" applyFill="1" applyBorder="1"/>
    <xf numFmtId="0" fontId="35" fillId="11" borderId="0" xfId="7" applyFont="1" applyFill="1" applyAlignment="1">
      <alignment horizontal="right"/>
    </xf>
    <xf numFmtId="168" fontId="24" fillId="11" borderId="0" xfId="7" applyNumberFormat="1" applyFill="1" applyAlignment="1">
      <alignment horizontal="center"/>
    </xf>
    <xf numFmtId="3" fontId="9" fillId="19" borderId="0" xfId="7" applyNumberFormat="1" applyFont="1" applyFill="1"/>
    <xf numFmtId="169" fontId="32" fillId="0" borderId="0" xfId="0" applyNumberFormat="1" applyFont="1"/>
    <xf numFmtId="0" fontId="38" fillId="0" borderId="0" xfId="14" applyFont="1" applyAlignment="1" applyProtection="1">
      <alignment horizontal="left" wrapText="1"/>
      <protection hidden="1"/>
    </xf>
    <xf numFmtId="169" fontId="56" fillId="0" borderId="0" xfId="0" applyNumberFormat="1" applyFont="1" applyAlignment="1">
      <alignment horizontal="center"/>
    </xf>
    <xf numFmtId="4" fontId="0" fillId="0" borderId="0" xfId="0" applyNumberFormat="1"/>
    <xf numFmtId="169" fontId="0" fillId="16" borderId="0" xfId="0" applyNumberFormat="1" applyFill="1" applyAlignment="1">
      <alignment horizontal="center"/>
    </xf>
    <xf numFmtId="6" fontId="58" fillId="0" borderId="0" xfId="0" applyNumberFormat="1" applyFont="1" applyAlignment="1">
      <alignment horizontal="center"/>
    </xf>
    <xf numFmtId="169" fontId="97" fillId="0" borderId="0" xfId="0" applyNumberFormat="1" applyFont="1" applyAlignment="1">
      <alignment horizontal="center"/>
    </xf>
    <xf numFmtId="0" fontId="63" fillId="0" borderId="31" xfId="14" applyFont="1" applyBorder="1" applyProtection="1">
      <protection hidden="1"/>
    </xf>
    <xf numFmtId="0" fontId="69" fillId="0" borderId="55" xfId="0" applyFont="1" applyBorder="1" applyAlignment="1">
      <alignment horizontal="center"/>
    </xf>
    <xf numFmtId="0" fontId="69" fillId="0" borderId="55" xfId="0" applyFont="1" applyBorder="1"/>
    <xf numFmtId="0" fontId="69" fillId="0" borderId="32" xfId="0" applyFont="1" applyBorder="1" applyAlignment="1">
      <alignment horizontal="center"/>
    </xf>
    <xf numFmtId="0" fontId="38" fillId="0" borderId="34" xfId="14" applyFont="1" applyBorder="1" applyProtection="1">
      <protection hidden="1"/>
    </xf>
    <xf numFmtId="0" fontId="69" fillId="0" borderId="35" xfId="0" applyFont="1" applyBorder="1" applyAlignment="1">
      <alignment horizontal="center"/>
    </xf>
    <xf numFmtId="0" fontId="69" fillId="0" borderId="36" xfId="0" applyFont="1" applyBorder="1"/>
    <xf numFmtId="169" fontId="69" fillId="0" borderId="51" xfId="0" applyNumberFormat="1" applyFont="1" applyBorder="1" applyAlignment="1">
      <alignment horizontal="center"/>
    </xf>
    <xf numFmtId="0" fontId="69" fillId="0" borderId="51" xfId="0" applyFont="1" applyBorder="1"/>
    <xf numFmtId="0" fontId="69" fillId="0" borderId="37" xfId="0" applyFont="1" applyBorder="1" applyAlignment="1">
      <alignment horizontal="center"/>
    </xf>
    <xf numFmtId="0" fontId="0" fillId="24" borderId="0" xfId="0" applyFill="1"/>
    <xf numFmtId="169" fontId="0" fillId="24" borderId="0" xfId="0" applyNumberFormat="1" applyFill="1" applyAlignment="1">
      <alignment horizontal="center"/>
    </xf>
    <xf numFmtId="164" fontId="69" fillId="0" borderId="0" xfId="0" applyNumberFormat="1" applyFont="1"/>
    <xf numFmtId="3" fontId="31" fillId="19" borderId="0" xfId="0" applyNumberFormat="1" applyFont="1" applyFill="1" applyAlignment="1">
      <alignment horizontal="center"/>
    </xf>
    <xf numFmtId="0" fontId="7" fillId="19" borderId="0" xfId="7" applyFont="1" applyFill="1"/>
    <xf numFmtId="169" fontId="37" fillId="11" borderId="0" xfId="7" applyNumberFormat="1" applyFont="1" applyFill="1" applyAlignment="1">
      <alignment horizontal="center"/>
    </xf>
    <xf numFmtId="0" fontId="0" fillId="0" borderId="0" xfId="0" applyAlignment="1">
      <alignment horizontal="right"/>
    </xf>
    <xf numFmtId="44" fontId="0" fillId="0" borderId="0" xfId="66" applyFont="1"/>
    <xf numFmtId="44" fontId="38" fillId="0" borderId="0" xfId="14" applyNumberFormat="1" applyFont="1" applyProtection="1">
      <protection hidden="1"/>
    </xf>
    <xf numFmtId="9" fontId="4" fillId="0" borderId="0" xfId="61" applyFont="1" applyFill="1" applyAlignment="1">
      <alignment horizontal="center"/>
    </xf>
    <xf numFmtId="169" fontId="99" fillId="0" borderId="0" xfId="0" applyNumberFormat="1" applyFont="1"/>
    <xf numFmtId="0" fontId="98" fillId="0" borderId="31" xfId="14" applyFont="1" applyBorder="1" applyProtection="1">
      <protection hidden="1"/>
    </xf>
    <xf numFmtId="169" fontId="99" fillId="0" borderId="32" xfId="0" applyNumberFormat="1" applyFont="1" applyBorder="1" applyAlignment="1">
      <alignment horizontal="center"/>
    </xf>
    <xf numFmtId="0" fontId="98" fillId="0" borderId="36" xfId="14" applyFont="1" applyBorder="1" applyProtection="1">
      <protection hidden="1"/>
    </xf>
    <xf numFmtId="0" fontId="56" fillId="0" borderId="0" xfId="0" applyFont="1"/>
    <xf numFmtId="10" fontId="56" fillId="0" borderId="0" xfId="61" applyNumberFormat="1" applyFont="1" applyAlignment="1">
      <alignment horizontal="center"/>
    </xf>
    <xf numFmtId="169" fontId="100" fillId="0" borderId="37" xfId="0" applyNumberFormat="1" applyFont="1" applyBorder="1" applyAlignment="1">
      <alignment horizontal="center"/>
    </xf>
    <xf numFmtId="0" fontId="9" fillId="11" borderId="0" xfId="67" applyFont="1" applyFill="1"/>
    <xf numFmtId="0" fontId="67" fillId="5" borderId="8" xfId="67" applyFont="1" applyFill="1" applyBorder="1" applyAlignment="1">
      <alignment horizontal="left"/>
    </xf>
    <xf numFmtId="0" fontId="16" fillId="5" borderId="9" xfId="67" applyFont="1" applyFill="1" applyBorder="1" applyAlignment="1">
      <alignment horizontal="centerContinuous"/>
    </xf>
    <xf numFmtId="0" fontId="16" fillId="5" borderId="9" xfId="67" quotePrefix="1" applyFont="1" applyFill="1" applyBorder="1" applyAlignment="1">
      <alignment horizontal="centerContinuous"/>
    </xf>
    <xf numFmtId="0" fontId="16" fillId="5" borderId="11" xfId="67" applyFont="1" applyFill="1" applyBorder="1" applyAlignment="1">
      <alignment horizontal="centerContinuous"/>
    </xf>
    <xf numFmtId="0" fontId="9" fillId="11" borderId="0" xfId="67" applyFont="1" applyFill="1" applyAlignment="1">
      <alignment horizontal="left"/>
    </xf>
    <xf numFmtId="0" fontId="15" fillId="11" borderId="0" xfId="67" applyFont="1" applyFill="1"/>
    <xf numFmtId="0" fontId="15" fillId="0" borderId="0" xfId="67" applyFont="1"/>
    <xf numFmtId="0" fontId="16" fillId="11" borderId="0" xfId="67" applyFont="1" applyFill="1"/>
    <xf numFmtId="0" fontId="67" fillId="5" borderId="76" xfId="67" quotePrefix="1" applyFont="1" applyFill="1" applyBorder="1" applyAlignment="1">
      <alignment horizontal="left"/>
    </xf>
    <xf numFmtId="0" fontId="16" fillId="5" borderId="55" xfId="67" applyFont="1" applyFill="1" applyBorder="1" applyAlignment="1">
      <alignment horizontal="centerContinuous"/>
    </xf>
    <xf numFmtId="0" fontId="16" fillId="5" borderId="55" xfId="67" quotePrefix="1" applyFont="1" applyFill="1" applyBorder="1" applyAlignment="1">
      <alignment horizontal="centerContinuous"/>
    </xf>
    <xf numFmtId="0" fontId="9" fillId="11" borderId="12" xfId="67" applyFont="1" applyFill="1" applyBorder="1"/>
    <xf numFmtId="0" fontId="16" fillId="6" borderId="24" xfId="67" applyFont="1" applyFill="1" applyBorder="1" applyAlignment="1">
      <alignment horizontal="left"/>
    </xf>
    <xf numFmtId="0" fontId="16" fillId="6" borderId="4" xfId="67" applyFont="1" applyFill="1" applyBorder="1" applyAlignment="1">
      <alignment horizontal="centerContinuous"/>
    </xf>
    <xf numFmtId="0" fontId="16" fillId="6" borderId="4" xfId="67" quotePrefix="1" applyFont="1" applyFill="1" applyBorder="1" applyAlignment="1">
      <alignment horizontal="centerContinuous"/>
    </xf>
    <xf numFmtId="0" fontId="16" fillId="6" borderId="25" xfId="67" applyFont="1" applyFill="1" applyBorder="1" applyAlignment="1">
      <alignment horizontal="centerContinuous"/>
    </xf>
    <xf numFmtId="0" fontId="16" fillId="6" borderId="13" xfId="67" applyFont="1" applyFill="1" applyBorder="1" applyAlignment="1">
      <alignment horizontal="left"/>
    </xf>
    <xf numFmtId="0" fontId="16" fillId="6" borderId="0" xfId="67" applyFont="1" applyFill="1" applyAlignment="1">
      <alignment horizontal="centerContinuous"/>
    </xf>
    <xf numFmtId="0" fontId="16" fillId="6" borderId="0" xfId="67" quotePrefix="1" applyFont="1" applyFill="1" applyAlignment="1">
      <alignment horizontal="centerContinuous"/>
    </xf>
    <xf numFmtId="0" fontId="16" fillId="6" borderId="22" xfId="67" applyFont="1" applyFill="1" applyBorder="1" applyAlignment="1">
      <alignment horizontal="centerContinuous"/>
    </xf>
    <xf numFmtId="0" fontId="9" fillId="6" borderId="13" xfId="67" applyFont="1" applyFill="1" applyBorder="1"/>
    <xf numFmtId="0" fontId="16" fillId="6" borderId="0" xfId="67" applyFont="1" applyFill="1"/>
    <xf numFmtId="0" fontId="16" fillId="6" borderId="22" xfId="67" applyFont="1" applyFill="1" applyBorder="1"/>
    <xf numFmtId="0" fontId="43" fillId="11" borderId="0" xfId="67" applyFont="1" applyFill="1" applyAlignment="1">
      <alignment horizontal="right"/>
    </xf>
    <xf numFmtId="0" fontId="9" fillId="6" borderId="16" xfId="67" applyFont="1" applyFill="1" applyBorder="1"/>
    <xf numFmtId="0" fontId="16" fillId="6" borderId="7" xfId="67" applyFont="1" applyFill="1" applyBorder="1"/>
    <xf numFmtId="0" fontId="16" fillId="6" borderId="23" xfId="67" applyFont="1" applyFill="1" applyBorder="1"/>
    <xf numFmtId="0" fontId="24" fillId="15" borderId="24" xfId="67" applyFont="1" applyFill="1" applyBorder="1"/>
    <xf numFmtId="0" fontId="24" fillId="15" borderId="4" xfId="67" applyFont="1" applyFill="1" applyBorder="1"/>
    <xf numFmtId="0" fontId="24" fillId="15" borderId="4" xfId="67" applyFont="1" applyFill="1" applyBorder="1" applyAlignment="1">
      <alignment horizontal="left"/>
    </xf>
    <xf numFmtId="0" fontId="24" fillId="15" borderId="5" xfId="67" applyFont="1" applyFill="1" applyBorder="1"/>
    <xf numFmtId="0" fontId="24" fillId="15" borderId="6" xfId="67" applyFont="1" applyFill="1" applyBorder="1" applyAlignment="1">
      <alignment horizontal="left"/>
    </xf>
    <xf numFmtId="0" fontId="24" fillId="15" borderId="6" xfId="67" applyFont="1" applyFill="1" applyBorder="1"/>
    <xf numFmtId="0" fontId="24" fillId="15" borderId="65" xfId="67" applyFont="1" applyFill="1" applyBorder="1"/>
    <xf numFmtId="0" fontId="43" fillId="15" borderId="24" xfId="67" applyFont="1" applyFill="1" applyBorder="1" applyAlignment="1">
      <alignment horizontal="right"/>
    </xf>
    <xf numFmtId="0" fontId="43" fillId="15" borderId="4" xfId="67" applyFont="1" applyFill="1" applyBorder="1" applyAlignment="1">
      <alignment horizontal="right"/>
    </xf>
    <xf numFmtId="0" fontId="43" fillId="15" borderId="25" xfId="67" applyFont="1" applyFill="1" applyBorder="1" applyAlignment="1">
      <alignment horizontal="right"/>
    </xf>
    <xf numFmtId="0" fontId="35" fillId="11" borderId="0" xfId="67" applyFont="1" applyFill="1"/>
    <xf numFmtId="0" fontId="24" fillId="15" borderId="13" xfId="67" applyFont="1" applyFill="1" applyBorder="1"/>
    <xf numFmtId="0" fontId="24" fillId="15" borderId="0" xfId="67" applyFont="1" applyFill="1"/>
    <xf numFmtId="0" fontId="24" fillId="15" borderId="0" xfId="67" applyFont="1" applyFill="1" applyAlignment="1">
      <alignment horizontal="center"/>
    </xf>
    <xf numFmtId="0" fontId="24" fillId="15" borderId="22" xfId="67" applyFont="1" applyFill="1" applyBorder="1"/>
    <xf numFmtId="0" fontId="24" fillId="11" borderId="0" xfId="67" applyFont="1" applyFill="1"/>
    <xf numFmtId="0" fontId="18" fillId="11" borderId="0" xfId="67" applyFont="1" applyFill="1"/>
    <xf numFmtId="0" fontId="18" fillId="0" borderId="0" xfId="67" applyFont="1"/>
    <xf numFmtId="2" fontId="24" fillId="15" borderId="0" xfId="67" applyNumberFormat="1" applyFont="1" applyFill="1"/>
    <xf numFmtId="10" fontId="24" fillId="15" borderId="0" xfId="67" applyNumberFormat="1" applyFont="1" applyFill="1"/>
    <xf numFmtId="166" fontId="24" fillId="15" borderId="0" xfId="67" applyNumberFormat="1" applyFont="1" applyFill="1" applyAlignment="1">
      <alignment horizontal="left"/>
    </xf>
    <xf numFmtId="166" fontId="24" fillId="15" borderId="0" xfId="67" applyNumberFormat="1" applyFont="1" applyFill="1"/>
    <xf numFmtId="0" fontId="24" fillId="15" borderId="22" xfId="67" applyFont="1" applyFill="1" applyBorder="1" applyAlignment="1">
      <alignment horizontal="left"/>
    </xf>
    <xf numFmtId="0" fontId="24" fillId="11" borderId="0" xfId="67" applyFont="1" applyFill="1" applyAlignment="1">
      <alignment horizontal="right"/>
    </xf>
    <xf numFmtId="165" fontId="24" fillId="15" borderId="0" xfId="67" applyNumberFormat="1" applyFont="1" applyFill="1"/>
    <xf numFmtId="165" fontId="24" fillId="15" borderId="22" xfId="67" applyNumberFormat="1" applyFont="1" applyFill="1" applyBorder="1"/>
    <xf numFmtId="0" fontId="24" fillId="15" borderId="16" xfId="67" applyFont="1" applyFill="1" applyBorder="1"/>
    <xf numFmtId="0" fontId="24" fillId="15" borderId="7" xfId="67" applyFont="1" applyFill="1" applyBorder="1"/>
    <xf numFmtId="0" fontId="24" fillId="15" borderId="7" xfId="67" applyFont="1" applyFill="1" applyBorder="1" applyAlignment="1">
      <alignment horizontal="left"/>
    </xf>
    <xf numFmtId="166" fontId="24" fillId="15" borderId="7" xfId="67" applyNumberFormat="1" applyFont="1" applyFill="1" applyBorder="1"/>
    <xf numFmtId="10" fontId="24" fillId="15" borderId="7" xfId="67" applyNumberFormat="1" applyFont="1" applyFill="1" applyBorder="1"/>
    <xf numFmtId="2" fontId="24" fillId="15" borderId="7" xfId="67" applyNumberFormat="1" applyFont="1" applyFill="1" applyBorder="1"/>
    <xf numFmtId="171" fontId="24" fillId="15" borderId="7" xfId="67" applyNumberFormat="1" applyFont="1" applyFill="1" applyBorder="1"/>
    <xf numFmtId="166" fontId="24" fillId="15" borderId="7" xfId="67" applyNumberFormat="1" applyFont="1" applyFill="1" applyBorder="1" applyAlignment="1">
      <alignment horizontal="left"/>
    </xf>
    <xf numFmtId="0" fontId="24" fillId="15" borderId="23" xfId="67" applyFont="1" applyFill="1" applyBorder="1"/>
    <xf numFmtId="167" fontId="35" fillId="11" borderId="66" xfId="67" applyNumberFormat="1" applyFont="1" applyFill="1" applyBorder="1" applyAlignment="1">
      <alignment horizontal="left"/>
    </xf>
    <xf numFmtId="167" fontId="35" fillId="11" borderId="66" xfId="67" applyNumberFormat="1" applyFont="1" applyFill="1" applyBorder="1"/>
    <xf numFmtId="0" fontId="35" fillId="11" borderId="66" xfId="67" applyFont="1" applyFill="1" applyBorder="1"/>
    <xf numFmtId="0" fontId="35" fillId="0" borderId="0" xfId="67" applyFont="1"/>
    <xf numFmtId="167" fontId="9" fillId="11" borderId="0" xfId="67" applyNumberFormat="1" applyFont="1" applyFill="1" applyAlignment="1">
      <alignment horizontal="fill"/>
    </xf>
    <xf numFmtId="167" fontId="9" fillId="11" borderId="0" xfId="67" applyNumberFormat="1" applyFont="1" applyFill="1" applyAlignment="1">
      <alignment horizontal="center"/>
    </xf>
    <xf numFmtId="0" fontId="24" fillId="11" borderId="77" xfId="67" applyFont="1" applyFill="1" applyBorder="1"/>
    <xf numFmtId="0" fontId="24" fillId="15" borderId="16" xfId="67" applyFont="1" applyFill="1" applyBorder="1" applyAlignment="1">
      <alignment horizontal="center"/>
    </xf>
    <xf numFmtId="165" fontId="24" fillId="15" borderId="7" xfId="67" applyNumberFormat="1" applyFont="1" applyFill="1" applyBorder="1"/>
    <xf numFmtId="167" fontId="9" fillId="5" borderId="13" xfId="67" applyNumberFormat="1" applyFont="1" applyFill="1" applyBorder="1"/>
    <xf numFmtId="0" fontId="16" fillId="5" borderId="0" xfId="67" applyFont="1" applyFill="1"/>
    <xf numFmtId="168" fontId="16" fillId="5" borderId="0" xfId="67" applyNumberFormat="1" applyFont="1" applyFill="1" applyAlignment="1">
      <alignment horizontal="right"/>
    </xf>
    <xf numFmtId="0" fontId="16" fillId="5" borderId="0" xfId="67" applyFont="1" applyFill="1" applyAlignment="1">
      <alignment horizontal="left"/>
    </xf>
    <xf numFmtId="168" fontId="16" fillId="5" borderId="13" xfId="67" applyNumberFormat="1" applyFont="1" applyFill="1" applyBorder="1" applyAlignment="1">
      <alignment horizontal="right"/>
    </xf>
    <xf numFmtId="0" fontId="16" fillId="5" borderId="0" xfId="67" applyFont="1" applyFill="1" applyAlignment="1">
      <alignment horizontal="right"/>
    </xf>
    <xf numFmtId="0" fontId="9" fillId="5" borderId="22" xfId="67" applyFont="1" applyFill="1" applyBorder="1"/>
    <xf numFmtId="0" fontId="9" fillId="0" borderId="0" xfId="67" applyFont="1"/>
    <xf numFmtId="167" fontId="9" fillId="5" borderId="16" xfId="67" applyNumberFormat="1" applyFont="1" applyFill="1" applyBorder="1"/>
    <xf numFmtId="167" fontId="9" fillId="5" borderId="7" xfId="67" applyNumberFormat="1" applyFont="1" applyFill="1" applyBorder="1" applyAlignment="1">
      <alignment horizontal="fill"/>
    </xf>
    <xf numFmtId="167" fontId="9" fillId="5" borderId="16" xfId="67" applyNumberFormat="1" applyFont="1" applyFill="1" applyBorder="1" applyAlignment="1">
      <alignment horizontal="fill"/>
    </xf>
    <xf numFmtId="0" fontId="9" fillId="5" borderId="23" xfId="67" applyFont="1" applyFill="1" applyBorder="1"/>
    <xf numFmtId="166" fontId="9" fillId="11" borderId="0" xfId="67" applyNumberFormat="1" applyFont="1" applyFill="1"/>
    <xf numFmtId="167" fontId="9" fillId="15" borderId="13" xfId="67" applyNumberFormat="1" applyFont="1" applyFill="1" applyBorder="1"/>
    <xf numFmtId="168" fontId="68" fillId="15" borderId="0" xfId="67" quotePrefix="1" applyNumberFormat="1" applyFont="1" applyFill="1" applyAlignment="1">
      <alignment horizontal="left"/>
    </xf>
    <xf numFmtId="168" fontId="68" fillId="15" borderId="0" xfId="67" applyNumberFormat="1" applyFont="1" applyFill="1" applyAlignment="1">
      <alignment horizontal="left"/>
    </xf>
    <xf numFmtId="0" fontId="68" fillId="15" borderId="0" xfId="67" applyFont="1" applyFill="1"/>
    <xf numFmtId="3" fontId="68" fillId="15" borderId="0" xfId="67" applyNumberFormat="1" applyFont="1" applyFill="1"/>
    <xf numFmtId="3" fontId="68" fillId="15" borderId="13" xfId="67" applyNumberFormat="1" applyFont="1" applyFill="1" applyBorder="1"/>
    <xf numFmtId="0" fontId="9" fillId="15" borderId="22" xfId="67" applyFont="1" applyFill="1" applyBorder="1"/>
    <xf numFmtId="0" fontId="68" fillId="15" borderId="0" xfId="67" applyFont="1" applyFill="1" applyAlignment="1">
      <alignment horizontal="left"/>
    </xf>
    <xf numFmtId="3" fontId="9" fillId="11" borderId="0" xfId="67" applyNumberFormat="1" applyFont="1" applyFill="1"/>
    <xf numFmtId="0" fontId="9" fillId="15" borderId="13" xfId="67" applyFont="1" applyFill="1" applyBorder="1"/>
    <xf numFmtId="168" fontId="9" fillId="11" borderId="0" xfId="67" applyNumberFormat="1" applyFont="1" applyFill="1"/>
    <xf numFmtId="0" fontId="68" fillId="15" borderId="51" xfId="67" applyFont="1" applyFill="1" applyBorder="1" applyAlignment="1">
      <alignment horizontal="left"/>
    </xf>
    <xf numFmtId="0" fontId="68" fillId="15" borderId="51" xfId="67" applyFont="1" applyFill="1" applyBorder="1"/>
    <xf numFmtId="3" fontId="68" fillId="15" borderId="51" xfId="67" applyNumberFormat="1" applyFont="1" applyFill="1" applyBorder="1"/>
    <xf numFmtId="3" fontId="68" fillId="15" borderId="67" xfId="67" applyNumberFormat="1" applyFont="1" applyFill="1" applyBorder="1"/>
    <xf numFmtId="3" fontId="68" fillId="15" borderId="22" xfId="67" applyNumberFormat="1" applyFont="1" applyFill="1" applyBorder="1"/>
    <xf numFmtId="0" fontId="9" fillId="15" borderId="16" xfId="67" applyFont="1" applyFill="1" applyBorder="1" applyAlignment="1">
      <alignment horizontal="right"/>
    </xf>
    <xf numFmtId="0" fontId="9" fillId="15" borderId="7" xfId="67" applyFont="1" applyFill="1" applyBorder="1" applyAlignment="1">
      <alignment horizontal="left"/>
    </xf>
    <xf numFmtId="0" fontId="9" fillId="15" borderId="7" xfId="67" applyFont="1" applyFill="1" applyBorder="1"/>
    <xf numFmtId="3" fontId="9" fillId="15" borderId="7" xfId="67" applyNumberFormat="1" applyFont="1" applyFill="1" applyBorder="1"/>
    <xf numFmtId="3" fontId="9" fillId="15" borderId="16" xfId="67" applyNumberFormat="1" applyFont="1" applyFill="1" applyBorder="1"/>
    <xf numFmtId="0" fontId="9" fillId="15" borderId="23" xfId="67" applyFont="1" applyFill="1" applyBorder="1"/>
    <xf numFmtId="0" fontId="68" fillId="11" borderId="0" xfId="67" applyFont="1" applyFill="1"/>
    <xf numFmtId="0" fontId="102" fillId="5" borderId="8" xfId="67" applyFont="1" applyFill="1" applyBorder="1" applyAlignment="1">
      <alignment horizontal="left"/>
    </xf>
    <xf numFmtId="0" fontId="102" fillId="5" borderId="9" xfId="67" applyFont="1" applyFill="1" applyBorder="1" applyAlignment="1">
      <alignment horizontal="left"/>
    </xf>
    <xf numFmtId="0" fontId="102" fillId="5" borderId="9" xfId="67" quotePrefix="1" applyFont="1" applyFill="1" applyBorder="1" applyAlignment="1">
      <alignment horizontal="left"/>
    </xf>
    <xf numFmtId="0" fontId="102" fillId="5" borderId="11" xfId="67" applyFont="1" applyFill="1" applyBorder="1" applyAlignment="1">
      <alignment horizontal="left"/>
    </xf>
    <xf numFmtId="0" fontId="68" fillId="11" borderId="0" xfId="67" applyFont="1" applyFill="1" applyAlignment="1">
      <alignment horizontal="left"/>
    </xf>
    <xf numFmtId="0" fontId="103" fillId="11" borderId="0" xfId="67" applyFont="1" applyFill="1"/>
    <xf numFmtId="0" fontId="103" fillId="0" borderId="0" xfId="67" applyFont="1"/>
    <xf numFmtId="0" fontId="102" fillId="5" borderId="76" xfId="67" quotePrefix="1" applyFont="1" applyFill="1" applyBorder="1"/>
    <xf numFmtId="0" fontId="102" fillId="5" borderId="55" xfId="67" applyFont="1" applyFill="1" applyBorder="1" applyAlignment="1">
      <alignment horizontal="centerContinuous"/>
    </xf>
    <xf numFmtId="0" fontId="102" fillId="5" borderId="55" xfId="67" quotePrefix="1" applyFont="1" applyFill="1" applyBorder="1" applyAlignment="1">
      <alignment horizontal="centerContinuous"/>
    </xf>
    <xf numFmtId="0" fontId="102" fillId="5" borderId="78" xfId="67" applyFont="1" applyFill="1" applyBorder="1" applyAlignment="1">
      <alignment horizontal="centerContinuous"/>
    </xf>
    <xf numFmtId="0" fontId="16" fillId="6" borderId="24" xfId="67" applyFont="1" applyFill="1" applyBorder="1"/>
    <xf numFmtId="0" fontId="16" fillId="6" borderId="13" xfId="67" applyFont="1" applyFill="1" applyBorder="1"/>
    <xf numFmtId="0" fontId="9" fillId="6" borderId="13" xfId="67" applyFont="1" applyFill="1" applyBorder="1" applyAlignment="1">
      <alignment horizontal="left"/>
    </xf>
    <xf numFmtId="0" fontId="24" fillId="15" borderId="5" xfId="67" applyFont="1" applyFill="1" applyBorder="1" applyAlignment="1">
      <alignment horizontal="left"/>
    </xf>
    <xf numFmtId="0" fontId="24" fillId="15" borderId="25" xfId="67" applyFont="1" applyFill="1" applyBorder="1"/>
    <xf numFmtId="0" fontId="24" fillId="15" borderId="23" xfId="67" applyFont="1" applyFill="1" applyBorder="1" applyAlignment="1">
      <alignment horizontal="left"/>
    </xf>
    <xf numFmtId="0" fontId="24" fillId="15" borderId="16" xfId="67" applyFont="1" applyFill="1" applyBorder="1" applyAlignment="1">
      <alignment horizontal="left"/>
    </xf>
    <xf numFmtId="167" fontId="9" fillId="5" borderId="24" xfId="67" applyNumberFormat="1" applyFont="1" applyFill="1" applyBorder="1"/>
    <xf numFmtId="168" fontId="9" fillId="5" borderId="4" xfId="67" applyNumberFormat="1" applyFont="1" applyFill="1" applyBorder="1" applyAlignment="1">
      <alignment horizontal="left"/>
    </xf>
    <xf numFmtId="0" fontId="9" fillId="5" borderId="4" xfId="67" applyFont="1" applyFill="1" applyBorder="1"/>
    <xf numFmtId="168" fontId="16" fillId="5" borderId="4" xfId="67" applyNumberFormat="1" applyFont="1" applyFill="1" applyBorder="1" applyAlignment="1">
      <alignment horizontal="centerContinuous"/>
    </xf>
    <xf numFmtId="0" fontId="16" fillId="5" borderId="4" xfId="67" applyFont="1" applyFill="1" applyBorder="1" applyAlignment="1">
      <alignment horizontal="centerContinuous"/>
    </xf>
    <xf numFmtId="0" fontId="16" fillId="5" borderId="24" xfId="67" applyFont="1" applyFill="1" applyBorder="1" applyAlignment="1">
      <alignment horizontal="centerContinuous"/>
    </xf>
    <xf numFmtId="0" fontId="9" fillId="5" borderId="4" xfId="67" applyFont="1" applyFill="1" applyBorder="1" applyAlignment="1">
      <alignment horizontal="centerContinuous"/>
    </xf>
    <xf numFmtId="0" fontId="9" fillId="5" borderId="25" xfId="67" applyFont="1" applyFill="1" applyBorder="1"/>
    <xf numFmtId="168" fontId="9" fillId="15" borderId="0" xfId="67" quotePrefix="1" applyNumberFormat="1" applyFont="1" applyFill="1" applyAlignment="1">
      <alignment horizontal="left"/>
    </xf>
    <xf numFmtId="168" fontId="9" fillId="15" borderId="0" xfId="67" applyNumberFormat="1" applyFont="1" applyFill="1" applyAlignment="1">
      <alignment horizontal="left"/>
    </xf>
    <xf numFmtId="0" fontId="9" fillId="15" borderId="0" xfId="67" applyFont="1" applyFill="1"/>
    <xf numFmtId="3" fontId="9" fillId="15" borderId="0" xfId="67" applyNumberFormat="1" applyFont="1" applyFill="1"/>
    <xf numFmtId="3" fontId="9" fillId="15" borderId="13" xfId="67" applyNumberFormat="1" applyFont="1" applyFill="1" applyBorder="1"/>
    <xf numFmtId="0" fontId="9" fillId="15" borderId="0" xfId="67" applyFont="1" applyFill="1" applyAlignment="1">
      <alignment horizontal="left"/>
    </xf>
    <xf numFmtId="0" fontId="9" fillId="15" borderId="51" xfId="67" applyFont="1" applyFill="1" applyBorder="1" applyAlignment="1">
      <alignment horizontal="left"/>
    </xf>
    <xf numFmtId="0" fontId="9" fillId="15" borderId="51" xfId="67" applyFont="1" applyFill="1" applyBorder="1"/>
    <xf numFmtId="3" fontId="9" fillId="15" borderId="51" xfId="67" applyNumberFormat="1" applyFont="1" applyFill="1" applyBorder="1"/>
    <xf numFmtId="3" fontId="9" fillId="15" borderId="67" xfId="67" applyNumberFormat="1" applyFont="1" applyFill="1" applyBorder="1"/>
    <xf numFmtId="0" fontId="16" fillId="11" borderId="0" xfId="67" applyFont="1" applyFill="1" applyAlignment="1">
      <alignment horizontal="left"/>
    </xf>
    <xf numFmtId="0" fontId="8" fillId="3" borderId="2" xfId="67" applyFont="1" applyFill="1" applyBorder="1"/>
    <xf numFmtId="0" fontId="9" fillId="3" borderId="1" xfId="67" applyFont="1" applyFill="1" applyBorder="1"/>
    <xf numFmtId="0" fontId="10" fillId="4" borderId="1" xfId="67" applyFont="1" applyFill="1" applyBorder="1"/>
    <xf numFmtId="0" fontId="11" fillId="4" borderId="3" xfId="67" applyFont="1" applyFill="1" applyBorder="1" applyAlignment="1">
      <alignment horizontal="right"/>
    </xf>
    <xf numFmtId="0" fontId="12" fillId="11" borderId="0" xfId="67" applyFont="1" applyFill="1"/>
    <xf numFmtId="0" fontId="13" fillId="5" borderId="31" xfId="67" quotePrefix="1" applyFont="1" applyFill="1" applyBorder="1" applyAlignment="1">
      <alignment horizontal="left"/>
    </xf>
    <xf numFmtId="0" fontId="14" fillId="5" borderId="55" xfId="67" applyFont="1" applyFill="1" applyBorder="1" applyAlignment="1">
      <alignment horizontal="centerContinuous"/>
    </xf>
    <xf numFmtId="0" fontId="14" fillId="5" borderId="55" xfId="67" quotePrefix="1" applyFont="1" applyFill="1" applyBorder="1" applyAlignment="1">
      <alignment horizontal="centerContinuous"/>
    </xf>
    <xf numFmtId="0" fontId="14" fillId="5" borderId="32" xfId="67" applyFont="1" applyFill="1" applyBorder="1" applyAlignment="1">
      <alignment horizontal="centerContinuous"/>
    </xf>
    <xf numFmtId="0" fontId="15" fillId="11" borderId="0" xfId="67" applyFont="1" applyFill="1" applyAlignment="1">
      <alignment horizontal="left"/>
    </xf>
    <xf numFmtId="0" fontId="9" fillId="6" borderId="0" xfId="67" applyFont="1" applyFill="1"/>
    <xf numFmtId="0" fontId="9" fillId="6" borderId="22" xfId="67" applyFont="1" applyFill="1" applyBorder="1"/>
    <xf numFmtId="0" fontId="17" fillId="15" borderId="24" xfId="67" applyFont="1" applyFill="1" applyBorder="1" applyAlignment="1">
      <alignment horizontal="right"/>
    </xf>
    <xf numFmtId="0" fontId="17" fillId="15" borderId="4" xfId="67" applyFont="1" applyFill="1" applyBorder="1" applyAlignment="1">
      <alignment horizontal="right"/>
    </xf>
    <xf numFmtId="0" fontId="17" fillId="15" borderId="25" xfId="67" applyFont="1" applyFill="1" applyBorder="1" applyAlignment="1">
      <alignment horizontal="right"/>
    </xf>
    <xf numFmtId="0" fontId="18" fillId="15" borderId="24" xfId="67" applyFont="1" applyFill="1" applyBorder="1"/>
    <xf numFmtId="0" fontId="18" fillId="15" borderId="4" xfId="67" applyFont="1" applyFill="1" applyBorder="1"/>
    <xf numFmtId="0" fontId="18" fillId="15" borderId="4" xfId="67" applyFont="1" applyFill="1" applyBorder="1" applyAlignment="1">
      <alignment horizontal="left"/>
    </xf>
    <xf numFmtId="0" fontId="18" fillId="15" borderId="5" xfId="67" applyFont="1" applyFill="1" applyBorder="1" applyAlignment="1">
      <alignment horizontal="left"/>
    </xf>
    <xf numFmtId="0" fontId="18" fillId="15" borderId="6" xfId="67" applyFont="1" applyFill="1" applyBorder="1" applyAlignment="1">
      <alignment horizontal="left"/>
    </xf>
    <xf numFmtId="0" fontId="18" fillId="15" borderId="6" xfId="67" applyFont="1" applyFill="1" applyBorder="1"/>
    <xf numFmtId="0" fontId="18" fillId="15" borderId="65" xfId="67" applyFont="1" applyFill="1" applyBorder="1"/>
    <xf numFmtId="0" fontId="18" fillId="15" borderId="13" xfId="67" applyFont="1" applyFill="1" applyBorder="1"/>
    <xf numFmtId="0" fontId="18" fillId="15" borderId="0" xfId="67" applyFont="1" applyFill="1"/>
    <xf numFmtId="0" fontId="18" fillId="15" borderId="22" xfId="67" applyFont="1" applyFill="1" applyBorder="1"/>
    <xf numFmtId="0" fontId="18" fillId="15" borderId="0" xfId="67" applyFont="1" applyFill="1" applyAlignment="1">
      <alignment horizontal="right"/>
    </xf>
    <xf numFmtId="0" fontId="19" fillId="11" borderId="0" xfId="67" applyFont="1" applyFill="1" applyAlignment="1">
      <alignment horizontal="right"/>
    </xf>
    <xf numFmtId="165" fontId="18" fillId="15" borderId="0" xfId="67" applyNumberFormat="1" applyFont="1" applyFill="1"/>
    <xf numFmtId="165" fontId="18" fillId="15" borderId="22" xfId="67" applyNumberFormat="1" applyFont="1" applyFill="1" applyBorder="1"/>
    <xf numFmtId="0" fontId="18" fillId="15" borderId="0" xfId="67" applyFont="1" applyFill="1" applyAlignment="1">
      <alignment horizontal="left"/>
    </xf>
    <xf numFmtId="166" fontId="18" fillId="15" borderId="0" xfId="67" applyNumberFormat="1" applyFont="1" applyFill="1"/>
    <xf numFmtId="166" fontId="18" fillId="15" borderId="0" xfId="67" applyNumberFormat="1" applyFont="1" applyFill="1" applyAlignment="1">
      <alignment horizontal="left"/>
    </xf>
    <xf numFmtId="0" fontId="18" fillId="15" borderId="22" xfId="67" applyFont="1" applyFill="1" applyBorder="1" applyAlignment="1">
      <alignment horizontal="left"/>
    </xf>
    <xf numFmtId="10" fontId="18" fillId="15" borderId="0" xfId="67" applyNumberFormat="1" applyFont="1" applyFill="1"/>
    <xf numFmtId="2" fontId="18" fillId="15" borderId="0" xfId="67" applyNumberFormat="1" applyFont="1" applyFill="1"/>
    <xf numFmtId="0" fontId="18" fillId="15" borderId="16" xfId="67" applyFont="1" applyFill="1" applyBorder="1"/>
    <xf numFmtId="0" fontId="18" fillId="15" borderId="7" xfId="67" applyFont="1" applyFill="1" applyBorder="1"/>
    <xf numFmtId="0" fontId="18" fillId="15" borderId="7" xfId="67" applyFont="1" applyFill="1" applyBorder="1" applyAlignment="1">
      <alignment horizontal="left"/>
    </xf>
    <xf numFmtId="166" fontId="18" fillId="15" borderId="7" xfId="67" applyNumberFormat="1" applyFont="1" applyFill="1" applyBorder="1"/>
    <xf numFmtId="10" fontId="18" fillId="15" borderId="7" xfId="67" applyNumberFormat="1" applyFont="1" applyFill="1" applyBorder="1"/>
    <xf numFmtId="2" fontId="18" fillId="15" borderId="7" xfId="67" applyNumberFormat="1" applyFont="1" applyFill="1" applyBorder="1"/>
    <xf numFmtId="166" fontId="18" fillId="15" borderId="7" xfId="67" applyNumberFormat="1" applyFont="1" applyFill="1" applyBorder="1" applyAlignment="1">
      <alignment horizontal="left"/>
    </xf>
    <xf numFmtId="0" fontId="18" fillId="15" borderId="23" xfId="67" applyFont="1" applyFill="1" applyBorder="1" applyAlignment="1">
      <alignment horizontal="left"/>
    </xf>
    <xf numFmtId="167" fontId="19" fillId="11" borderId="4" xfId="67" applyNumberFormat="1" applyFont="1" applyFill="1" applyBorder="1" applyAlignment="1">
      <alignment horizontal="left"/>
    </xf>
    <xf numFmtId="167" fontId="19" fillId="11" borderId="4" xfId="67" applyNumberFormat="1" applyFont="1" applyFill="1" applyBorder="1"/>
    <xf numFmtId="0" fontId="19" fillId="11" borderId="4" xfId="67" applyFont="1" applyFill="1" applyBorder="1"/>
    <xf numFmtId="0" fontId="18" fillId="15" borderId="16" xfId="67" applyFont="1" applyFill="1" applyBorder="1" applyAlignment="1">
      <alignment horizontal="right"/>
    </xf>
    <xf numFmtId="165" fontId="18" fillId="15" borderId="7" xfId="67" applyNumberFormat="1" applyFont="1" applyFill="1" applyBorder="1"/>
    <xf numFmtId="0" fontId="18" fillId="15" borderId="23" xfId="67" applyFont="1" applyFill="1" applyBorder="1"/>
    <xf numFmtId="167" fontId="9" fillId="5" borderId="8" xfId="67" applyNumberFormat="1" applyFont="1" applyFill="1" applyBorder="1"/>
    <xf numFmtId="168" fontId="9" fillId="5" borderId="9" xfId="67" applyNumberFormat="1" applyFont="1" applyFill="1" applyBorder="1" applyAlignment="1">
      <alignment horizontal="left"/>
    </xf>
    <xf numFmtId="0" fontId="9" fillId="5" borderId="9" xfId="67" applyFont="1" applyFill="1" applyBorder="1"/>
    <xf numFmtId="168" fontId="16" fillId="5" borderId="9" xfId="67" applyNumberFormat="1" applyFont="1" applyFill="1" applyBorder="1" applyAlignment="1">
      <alignment horizontal="centerContinuous"/>
    </xf>
    <xf numFmtId="0" fontId="16" fillId="5" borderId="10" xfId="67" applyFont="1" applyFill="1" applyBorder="1" applyAlignment="1">
      <alignment horizontal="centerContinuous"/>
    </xf>
    <xf numFmtId="0" fontId="9" fillId="5" borderId="9" xfId="67" applyFont="1" applyFill="1" applyBorder="1" applyAlignment="1">
      <alignment horizontal="centerContinuous"/>
    </xf>
    <xf numFmtId="0" fontId="9" fillId="5" borderId="11" xfId="67" applyFont="1" applyFill="1" applyBorder="1"/>
    <xf numFmtId="0" fontId="9" fillId="5" borderId="14" xfId="67" applyFont="1" applyFill="1" applyBorder="1"/>
    <xf numFmtId="167" fontId="9" fillId="5" borderId="15" xfId="67" applyNumberFormat="1" applyFont="1" applyFill="1" applyBorder="1"/>
    <xf numFmtId="0" fontId="9" fillId="5" borderId="17" xfId="67" applyFont="1" applyFill="1" applyBorder="1"/>
    <xf numFmtId="167" fontId="9" fillId="15" borderId="12" xfId="67" applyNumberFormat="1" applyFont="1" applyFill="1" applyBorder="1"/>
    <xf numFmtId="0" fontId="9" fillId="15" borderId="14" xfId="67" applyFont="1" applyFill="1" applyBorder="1"/>
    <xf numFmtId="168" fontId="9" fillId="15" borderId="12" xfId="67" applyNumberFormat="1" applyFont="1" applyFill="1" applyBorder="1" applyAlignment="1">
      <alignment horizontal="left"/>
    </xf>
    <xf numFmtId="168" fontId="20" fillId="15" borderId="0" xfId="67" quotePrefix="1" applyNumberFormat="1" applyFont="1" applyFill="1" applyAlignment="1">
      <alignment horizontal="left"/>
    </xf>
    <xf numFmtId="0" fontId="20" fillId="15" borderId="0" xfId="67" applyFont="1" applyFill="1"/>
    <xf numFmtId="3" fontId="59" fillId="15" borderId="0" xfId="67" applyNumberFormat="1" applyFont="1" applyFill="1"/>
    <xf numFmtId="172" fontId="74" fillId="15" borderId="0" xfId="68" applyNumberFormat="1" applyFont="1" applyFill="1"/>
    <xf numFmtId="3" fontId="20" fillId="11" borderId="0" xfId="67" applyNumberFormat="1" applyFont="1" applyFill="1"/>
    <xf numFmtId="0" fontId="20" fillId="15" borderId="0" xfId="67" quotePrefix="1" applyFont="1" applyFill="1" applyAlignment="1">
      <alignment horizontal="left"/>
    </xf>
    <xf numFmtId="0" fontId="9" fillId="15" borderId="12" xfId="67" applyFont="1" applyFill="1" applyBorder="1"/>
    <xf numFmtId="0" fontId="9" fillId="15" borderId="0" xfId="67" quotePrefix="1" applyFont="1" applyFill="1" applyAlignment="1">
      <alignment horizontal="left"/>
    </xf>
    <xf numFmtId="0" fontId="20" fillId="15" borderId="0" xfId="67" applyFont="1" applyFill="1" applyAlignment="1">
      <alignment horizontal="left"/>
    </xf>
    <xf numFmtId="0" fontId="9" fillId="15" borderId="12" xfId="67" applyFont="1" applyFill="1" applyBorder="1" applyAlignment="1">
      <alignment horizontal="left"/>
    </xf>
    <xf numFmtId="0" fontId="16" fillId="15" borderId="12" xfId="67" applyFont="1" applyFill="1" applyBorder="1" applyAlignment="1">
      <alignment horizontal="left"/>
    </xf>
    <xf numFmtId="0" fontId="9" fillId="15" borderId="18" xfId="67" applyFont="1" applyFill="1" applyBorder="1" applyAlignment="1">
      <alignment horizontal="right"/>
    </xf>
    <xf numFmtId="0" fontId="9" fillId="15" borderId="19" xfId="67" applyFont="1" applyFill="1" applyBorder="1" applyAlignment="1">
      <alignment horizontal="left"/>
    </xf>
    <xf numFmtId="0" fontId="9" fillId="15" borderId="19" xfId="67" applyFont="1" applyFill="1" applyBorder="1"/>
    <xf numFmtId="3" fontId="9" fillId="15" borderId="19" xfId="67" applyNumberFormat="1" applyFont="1" applyFill="1" applyBorder="1"/>
    <xf numFmtId="3" fontId="9" fillId="15" borderId="20" xfId="67" applyNumberFormat="1" applyFont="1" applyFill="1" applyBorder="1"/>
    <xf numFmtId="0" fontId="9" fillId="15" borderId="21" xfId="67" applyFont="1" applyFill="1" applyBorder="1"/>
    <xf numFmtId="0" fontId="9" fillId="15" borderId="24" xfId="67" applyFont="1" applyFill="1" applyBorder="1"/>
    <xf numFmtId="0" fontId="9" fillId="15" borderId="4" xfId="67" applyFont="1" applyFill="1" applyBorder="1"/>
    <xf numFmtId="0" fontId="9" fillId="15" borderId="25" xfId="67" applyFont="1" applyFill="1" applyBorder="1"/>
    <xf numFmtId="8" fontId="9" fillId="15" borderId="0" xfId="67" applyNumberFormat="1" applyFont="1" applyFill="1"/>
    <xf numFmtId="8" fontId="9" fillId="15" borderId="22" xfId="67" applyNumberFormat="1" applyFont="1" applyFill="1" applyBorder="1"/>
    <xf numFmtId="0" fontId="9" fillId="15" borderId="16" xfId="67" applyFont="1" applyFill="1" applyBorder="1"/>
    <xf numFmtId="8" fontId="9" fillId="15" borderId="7" xfId="67" applyNumberFormat="1" applyFont="1" applyFill="1" applyBorder="1"/>
    <xf numFmtId="8" fontId="9" fillId="15" borderId="23" xfId="67" applyNumberFormat="1" applyFont="1" applyFill="1" applyBorder="1"/>
    <xf numFmtId="0" fontId="9" fillId="11" borderId="0" xfId="67" quotePrefix="1" applyFont="1" applyFill="1"/>
    <xf numFmtId="172" fontId="74" fillId="19" borderId="0" xfId="68" applyNumberFormat="1" applyFont="1" applyFill="1"/>
    <xf numFmtId="0" fontId="0" fillId="0" borderId="0" xfId="0" applyAlignment="1">
      <alignment horizontal="left" wrapText="1"/>
    </xf>
    <xf numFmtId="164" fontId="0" fillId="0" borderId="0" xfId="0" applyNumberFormat="1" applyAlignment="1">
      <alignment horizontal="center"/>
    </xf>
    <xf numFmtId="169" fontId="32" fillId="0" borderId="58" xfId="0" applyNumberFormat="1" applyFont="1" applyBorder="1" applyAlignment="1">
      <alignment horizontal="center"/>
    </xf>
    <xf numFmtId="0" fontId="104" fillId="0" borderId="0" xfId="0" applyFont="1"/>
    <xf numFmtId="164" fontId="0" fillId="16" borderId="0" xfId="0" applyNumberFormat="1" applyFill="1" applyAlignment="1">
      <alignment horizontal="center"/>
    </xf>
    <xf numFmtId="0" fontId="0" fillId="25" borderId="0" xfId="0" applyFill="1" applyAlignment="1">
      <alignment horizontal="center"/>
    </xf>
    <xf numFmtId="0" fontId="105" fillId="0" borderId="0" xfId="7" applyFont="1" applyAlignment="1">
      <alignment horizontal="center"/>
    </xf>
    <xf numFmtId="0" fontId="7" fillId="0" borderId="29" xfId="7" applyFont="1" applyBorder="1" applyAlignment="1">
      <alignment horizontal="center"/>
    </xf>
    <xf numFmtId="8" fontId="7" fillId="0" borderId="29" xfId="7" applyNumberFormat="1" applyFont="1" applyBorder="1" applyAlignment="1">
      <alignment horizontal="center"/>
    </xf>
    <xf numFmtId="0" fontId="7" fillId="0" borderId="0" xfId="7" applyFont="1" applyAlignment="1">
      <alignment horizontal="center" vertical="center" wrapText="1"/>
    </xf>
    <xf numFmtId="0" fontId="7" fillId="18" borderId="0" xfId="7" applyFont="1" applyFill="1" applyAlignment="1">
      <alignment horizontal="center" wrapText="1"/>
    </xf>
    <xf numFmtId="0" fontId="7" fillId="18" borderId="0" xfId="7" applyFont="1" applyFill="1" applyAlignment="1">
      <alignment horizontal="center"/>
    </xf>
    <xf numFmtId="0" fontId="7" fillId="18" borderId="0" xfId="7" applyFont="1" applyFill="1" applyAlignment="1">
      <alignment wrapText="1"/>
    </xf>
    <xf numFmtId="0" fontId="105" fillId="0" borderId="0" xfId="7" applyFont="1"/>
    <xf numFmtId="0" fontId="24" fillId="0" borderId="0" xfId="7" applyAlignment="1">
      <alignment horizontal="center" wrapText="1"/>
    </xf>
    <xf numFmtId="0" fontId="7" fillId="25" borderId="0" xfId="7" applyFont="1" applyFill="1" applyAlignment="1">
      <alignment horizontal="center" wrapText="1"/>
    </xf>
    <xf numFmtId="0" fontId="7" fillId="18" borderId="0" xfId="7" applyFont="1" applyFill="1"/>
    <xf numFmtId="0" fontId="7" fillId="25" borderId="0" xfId="7" applyFont="1" applyFill="1" applyAlignment="1">
      <alignment horizontal="center"/>
    </xf>
    <xf numFmtId="169" fontId="7" fillId="18" borderId="0" xfId="7" applyNumberFormat="1" applyFont="1" applyFill="1" applyAlignment="1">
      <alignment horizontal="center"/>
    </xf>
    <xf numFmtId="3" fontId="7" fillId="0" borderId="0" xfId="7" applyNumberFormat="1" applyFont="1" applyAlignment="1">
      <alignment horizontal="center"/>
    </xf>
    <xf numFmtId="169" fontId="7" fillId="25" borderId="0" xfId="7" applyNumberFormat="1" applyFont="1" applyFill="1" applyAlignment="1">
      <alignment horizontal="center"/>
    </xf>
    <xf numFmtId="10" fontId="7" fillId="0" borderId="0" xfId="63" applyNumberFormat="1" applyFont="1" applyAlignment="1">
      <alignment horizontal="center"/>
    </xf>
    <xf numFmtId="0" fontId="7" fillId="0" borderId="0" xfId="37" applyFont="1"/>
    <xf numFmtId="169" fontId="7" fillId="0" borderId="0" xfId="37" applyNumberFormat="1" applyFont="1" applyAlignment="1">
      <alignment horizontal="center"/>
    </xf>
    <xf numFmtId="169" fontId="7" fillId="19" borderId="0" xfId="37" applyNumberFormat="1" applyFont="1" applyFill="1" applyAlignment="1">
      <alignment horizontal="center"/>
    </xf>
    <xf numFmtId="8" fontId="7" fillId="0" borderId="0" xfId="7" applyNumberFormat="1" applyFont="1"/>
    <xf numFmtId="169" fontId="7" fillId="0" borderId="30" xfId="7" applyNumberFormat="1" applyFont="1" applyBorder="1" applyAlignment="1">
      <alignment horizontal="center"/>
    </xf>
    <xf numFmtId="0" fontId="7" fillId="0" borderId="30" xfId="7" applyFont="1" applyBorder="1"/>
    <xf numFmtId="0" fontId="7" fillId="0" borderId="33" xfId="7" applyFont="1" applyBorder="1"/>
    <xf numFmtId="10" fontId="7" fillId="0" borderId="0" xfId="7" applyNumberFormat="1" applyFont="1" applyAlignment="1">
      <alignment horizontal="center"/>
    </xf>
    <xf numFmtId="164" fontId="7" fillId="0" borderId="33" xfId="7" applyNumberFormat="1" applyFont="1" applyBorder="1"/>
    <xf numFmtId="169" fontId="7" fillId="0" borderId="33" xfId="7" applyNumberFormat="1" applyFont="1" applyBorder="1" applyAlignment="1">
      <alignment horizontal="center"/>
    </xf>
    <xf numFmtId="0" fontId="7" fillId="0" borderId="38" xfId="7" applyFont="1" applyBorder="1"/>
    <xf numFmtId="0" fontId="9" fillId="25" borderId="0" xfId="62" applyFont="1" applyFill="1" applyAlignment="1">
      <alignment horizontal="left"/>
    </xf>
    <xf numFmtId="0" fontId="9" fillId="11" borderId="0" xfId="67" applyFont="1" applyFill="1" applyAlignment="1">
      <alignment horizontal="center"/>
    </xf>
    <xf numFmtId="3" fontId="9" fillId="11" borderId="79" xfId="62" applyNumberFormat="1" applyFont="1" applyFill="1" applyBorder="1"/>
    <xf numFmtId="3" fontId="9" fillId="11" borderId="55" xfId="67" applyNumberFormat="1" applyFont="1" applyFill="1" applyBorder="1"/>
    <xf numFmtId="0" fontId="9" fillId="11" borderId="55" xfId="67" applyFont="1" applyFill="1" applyBorder="1"/>
    <xf numFmtId="3" fontId="9" fillId="11" borderId="12" xfId="62" applyNumberFormat="1" applyFont="1" applyFill="1" applyBorder="1"/>
    <xf numFmtId="43" fontId="9" fillId="11" borderId="55" xfId="67" applyNumberFormat="1" applyFont="1" applyFill="1" applyBorder="1"/>
    <xf numFmtId="43" fontId="9" fillId="11" borderId="0" xfId="67" applyNumberFormat="1" applyFont="1" applyFill="1"/>
    <xf numFmtId="0" fontId="9" fillId="11" borderId="0" xfId="7" applyFont="1" applyFill="1" applyAlignment="1">
      <alignment horizontal="center"/>
    </xf>
    <xf numFmtId="174" fontId="0" fillId="0" borderId="0" xfId="0" applyNumberFormat="1"/>
    <xf numFmtId="37" fontId="9" fillId="11" borderId="0" xfId="67" applyNumberFormat="1" applyFont="1" applyFill="1"/>
    <xf numFmtId="0" fontId="72" fillId="0" borderId="0" xfId="0" applyFont="1"/>
    <xf numFmtId="175" fontId="72" fillId="0" borderId="0" xfId="61" applyNumberFormat="1" applyFont="1" applyAlignment="1">
      <alignment horizontal="center"/>
    </xf>
    <xf numFmtId="0" fontId="69" fillId="0" borderId="0" xfId="0" applyFont="1" applyAlignment="1">
      <alignment horizontal="center" wrapText="1"/>
    </xf>
    <xf numFmtId="0" fontId="37" fillId="0" borderId="55" xfId="14" applyFont="1" applyBorder="1" applyProtection="1">
      <protection hidden="1"/>
    </xf>
    <xf numFmtId="169" fontId="72" fillId="0" borderId="55" xfId="0" applyNumberFormat="1" applyFont="1" applyBorder="1" applyAlignment="1">
      <alignment horizontal="center"/>
    </xf>
    <xf numFmtId="0" fontId="58" fillId="0" borderId="0" xfId="0" applyFont="1" applyAlignment="1">
      <alignment wrapText="1"/>
    </xf>
    <xf numFmtId="169" fontId="0" fillId="0" borderId="0" xfId="0" applyNumberFormat="1" applyAlignment="1">
      <alignment horizontal="center" wrapText="1"/>
    </xf>
    <xf numFmtId="169" fontId="72" fillId="0" borderId="0" xfId="0" applyNumberFormat="1" applyFont="1" applyAlignment="1">
      <alignment horizontal="center" wrapText="1"/>
    </xf>
    <xf numFmtId="0" fontId="69" fillId="0" borderId="0" xfId="0" applyFont="1" applyAlignment="1">
      <alignment horizontal="left" wrapText="1"/>
    </xf>
    <xf numFmtId="10" fontId="69" fillId="0" borderId="0" xfId="61" applyNumberFormat="1" applyFont="1" applyAlignment="1">
      <alignment horizontal="center"/>
    </xf>
    <xf numFmtId="10" fontId="7" fillId="0" borderId="0" xfId="61" applyNumberFormat="1" applyFont="1"/>
    <xf numFmtId="10" fontId="38" fillId="0" borderId="0" xfId="61" applyNumberFormat="1" applyFont="1" applyFill="1" applyProtection="1">
      <protection hidden="1"/>
    </xf>
    <xf numFmtId="169" fontId="0" fillId="0" borderId="0" xfId="61" applyNumberFormat="1" applyFont="1"/>
    <xf numFmtId="0" fontId="38" fillId="0" borderId="51" xfId="14" applyFont="1" applyBorder="1" applyProtection="1">
      <protection hidden="1"/>
    </xf>
    <xf numFmtId="164" fontId="0" fillId="0" borderId="0" xfId="0" applyNumberFormat="1"/>
    <xf numFmtId="0" fontId="7" fillId="0" borderId="51" xfId="7" applyFont="1" applyBorder="1" applyAlignment="1">
      <alignment wrapText="1"/>
    </xf>
    <xf numFmtId="9" fontId="4" fillId="0" borderId="0" xfId="61" applyFont="1" applyFill="1" applyAlignment="1">
      <alignment horizontal="center" wrapText="1"/>
    </xf>
    <xf numFmtId="0" fontId="38" fillId="9" borderId="0" xfId="14" applyFont="1" applyFill="1" applyProtection="1">
      <protection hidden="1"/>
    </xf>
    <xf numFmtId="169" fontId="32" fillId="9" borderId="0" xfId="0" applyNumberFormat="1" applyFont="1" applyFill="1" applyAlignment="1">
      <alignment horizontal="center"/>
    </xf>
    <xf numFmtId="0" fontId="76" fillId="0" borderId="29" xfId="0" applyFont="1" applyBorder="1" applyAlignment="1">
      <alignment horizontal="center" vertical="center"/>
    </xf>
    <xf numFmtId="0" fontId="106" fillId="0" borderId="29" xfId="0" applyFont="1" applyBorder="1" applyAlignment="1">
      <alignment horizontal="center"/>
    </xf>
    <xf numFmtId="0" fontId="35" fillId="0" borderId="29" xfId="0" applyFont="1" applyBorder="1" applyAlignment="1">
      <alignment horizontal="center" wrapText="1"/>
    </xf>
    <xf numFmtId="0" fontId="7" fillId="0" borderId="0" xfId="0" applyFont="1"/>
    <xf numFmtId="0" fontId="76" fillId="0" borderId="29" xfId="0" applyFont="1" applyBorder="1" applyAlignment="1">
      <alignment horizontal="center" wrapText="1"/>
    </xf>
    <xf numFmtId="0" fontId="7" fillId="0" borderId="29" xfId="0" applyFont="1" applyBorder="1" applyAlignment="1">
      <alignment horizontal="center"/>
    </xf>
    <xf numFmtId="0" fontId="7" fillId="0" borderId="29" xfId="0" applyFont="1" applyBorder="1"/>
    <xf numFmtId="169" fontId="7" fillId="25" borderId="29" xfId="0" applyNumberFormat="1" applyFont="1" applyFill="1" applyBorder="1" applyAlignment="1">
      <alignment horizontal="center"/>
    </xf>
    <xf numFmtId="169" fontId="7" fillId="0" borderId="29" xfId="0" applyNumberFormat="1" applyFont="1" applyBorder="1" applyAlignment="1">
      <alignment horizontal="center"/>
    </xf>
    <xf numFmtId="10" fontId="7" fillId="0" borderId="29" xfId="0" applyNumberFormat="1" applyFont="1" applyBorder="1" applyAlignment="1">
      <alignment horizontal="center"/>
    </xf>
    <xf numFmtId="0" fontId="7" fillId="0" borderId="29" xfId="37" applyFont="1" applyBorder="1" applyAlignment="1">
      <alignment horizontal="center"/>
    </xf>
    <xf numFmtId="0" fontId="8" fillId="26" borderId="2" xfId="0" applyFont="1" applyFill="1" applyBorder="1"/>
    <xf numFmtId="0" fontId="9" fillId="26" borderId="1" xfId="0" applyFont="1" applyFill="1" applyBorder="1"/>
    <xf numFmtId="0" fontId="107" fillId="27" borderId="1" xfId="0" applyFont="1" applyFill="1" applyBorder="1"/>
    <xf numFmtId="0" fontId="11" fillId="27" borderId="3" xfId="0" applyFont="1" applyFill="1" applyBorder="1" applyAlignment="1">
      <alignment horizontal="right"/>
    </xf>
    <xf numFmtId="0" fontId="9" fillId="0" borderId="0" xfId="0" applyFont="1"/>
    <xf numFmtId="0" fontId="13" fillId="28" borderId="2" xfId="0" applyFont="1" applyFill="1" applyBorder="1" applyAlignment="1">
      <alignment horizontal="left"/>
    </xf>
    <xf numFmtId="0" fontId="14" fillId="28" borderId="1" xfId="0" applyFont="1" applyFill="1" applyBorder="1" applyAlignment="1">
      <alignment horizontal="centerContinuous"/>
    </xf>
    <xf numFmtId="0" fontId="14" fillId="28" borderId="3" xfId="0" applyFont="1" applyFill="1" applyBorder="1" applyAlignment="1">
      <alignment horizontal="centerContinuous"/>
    </xf>
    <xf numFmtId="0" fontId="15" fillId="0" borderId="0" xfId="0" applyFont="1"/>
    <xf numFmtId="0" fontId="16" fillId="29" borderId="0" xfId="0" applyFont="1" applyFill="1" applyAlignment="1">
      <alignment horizontal="left"/>
    </xf>
    <xf numFmtId="0" fontId="16" fillId="29" borderId="0" xfId="0" applyFont="1" applyFill="1" applyAlignment="1">
      <alignment horizontal="centerContinuous"/>
    </xf>
    <xf numFmtId="0" fontId="9" fillId="29" borderId="0" xfId="0" applyFont="1" applyFill="1"/>
    <xf numFmtId="0" fontId="9" fillId="29" borderId="0" xfId="0" applyFont="1" applyFill="1" applyAlignment="1">
      <alignment horizontal="left"/>
    </xf>
    <xf numFmtId="0" fontId="16" fillId="29" borderId="0" xfId="0" applyFont="1" applyFill="1"/>
    <xf numFmtId="0" fontId="17" fillId="0" borderId="0" xfId="0" applyFont="1" applyAlignment="1">
      <alignment horizontal="right"/>
    </xf>
    <xf numFmtId="0" fontId="18" fillId="0" borderId="4" xfId="0" applyFont="1" applyBorder="1"/>
    <xf numFmtId="0" fontId="18" fillId="0" borderId="4" xfId="0" applyFont="1" applyBorder="1" applyAlignment="1">
      <alignment horizontal="left"/>
    </xf>
    <xf numFmtId="0" fontId="18" fillId="0" borderId="5" xfId="0" applyFont="1" applyBorder="1" applyAlignment="1">
      <alignment horizontal="left"/>
    </xf>
    <xf numFmtId="0" fontId="18" fillId="0" borderId="6" xfId="0" applyFont="1" applyBorder="1" applyAlignment="1">
      <alignment horizontal="left"/>
    </xf>
    <xf numFmtId="0" fontId="18" fillId="0" borderId="6" xfId="0" applyFont="1" applyBorder="1"/>
    <xf numFmtId="0" fontId="18" fillId="0" borderId="80" xfId="0" applyFont="1" applyBorder="1"/>
    <xf numFmtId="0" fontId="18" fillId="0" borderId="0" xfId="0" applyFont="1"/>
    <xf numFmtId="0" fontId="18" fillId="0" borderId="0" xfId="0" applyFont="1" applyAlignment="1">
      <alignment horizontal="right"/>
    </xf>
    <xf numFmtId="3" fontId="18" fillId="0" borderId="0" xfId="0" applyNumberFormat="1" applyFont="1"/>
    <xf numFmtId="0" fontId="18" fillId="0" borderId="0" xfId="0" applyFont="1" applyAlignment="1">
      <alignment horizontal="left"/>
    </xf>
    <xf numFmtId="0" fontId="18" fillId="0" borderId="7" xfId="0" applyFont="1" applyBorder="1"/>
    <xf numFmtId="0" fontId="18" fillId="0" borderId="7" xfId="0" applyFont="1" applyBorder="1" applyAlignment="1">
      <alignment horizontal="left"/>
    </xf>
    <xf numFmtId="0" fontId="19" fillId="0" borderId="4" xfId="0" applyFont="1" applyBorder="1" applyAlignment="1">
      <alignment horizontal="left"/>
    </xf>
    <xf numFmtId="0" fontId="19" fillId="0" borderId="4" xfId="0" applyFont="1" applyBorder="1"/>
    <xf numFmtId="0" fontId="9" fillId="28" borderId="8" xfId="0" applyFont="1" applyFill="1" applyBorder="1"/>
    <xf numFmtId="0" fontId="9" fillId="28" borderId="9" xfId="0" applyFont="1" applyFill="1" applyBorder="1" applyAlignment="1">
      <alignment horizontal="left"/>
    </xf>
    <xf numFmtId="0" fontId="9" fillId="28" borderId="9" xfId="0" applyFont="1" applyFill="1" applyBorder="1"/>
    <xf numFmtId="0" fontId="9" fillId="28" borderId="11" xfId="0" applyFont="1" applyFill="1" applyBorder="1"/>
    <xf numFmtId="0" fontId="9" fillId="0" borderId="12" xfId="0" applyFont="1" applyBorder="1"/>
    <xf numFmtId="0" fontId="16" fillId="28" borderId="0" xfId="0" applyFont="1" applyFill="1" applyAlignment="1">
      <alignment horizontal="left"/>
    </xf>
    <xf numFmtId="0" fontId="16" fillId="28" borderId="0" xfId="0" applyFont="1" applyFill="1"/>
    <xf numFmtId="0" fontId="16" fillId="28" borderId="0" xfId="0" applyFont="1" applyFill="1" applyAlignment="1">
      <alignment horizontal="right"/>
    </xf>
    <xf numFmtId="0" fontId="16" fillId="28" borderId="13" xfId="0" applyFont="1" applyFill="1" applyBorder="1" applyAlignment="1">
      <alignment horizontal="right"/>
    </xf>
    <xf numFmtId="0" fontId="9" fillId="28" borderId="14" xfId="0" applyFont="1" applyFill="1" applyBorder="1"/>
    <xf numFmtId="0" fontId="9" fillId="28" borderId="15" xfId="0" applyFont="1" applyFill="1" applyBorder="1"/>
    <xf numFmtId="0" fontId="9" fillId="28" borderId="7" xfId="0" applyFont="1" applyFill="1" applyBorder="1" applyAlignment="1">
      <alignment horizontal="fill"/>
    </xf>
    <xf numFmtId="0" fontId="9" fillId="28" borderId="16" xfId="0" applyFont="1" applyFill="1" applyBorder="1" applyAlignment="1">
      <alignment horizontal="fill"/>
    </xf>
    <xf numFmtId="0" fontId="9" fillId="28" borderId="17" xfId="0" applyFont="1" applyFill="1" applyBorder="1"/>
    <xf numFmtId="0" fontId="9" fillId="0" borderId="0" xfId="0" applyFont="1" applyAlignment="1">
      <alignment horizontal="left"/>
    </xf>
    <xf numFmtId="0" fontId="9" fillId="0" borderId="13" xfId="0" applyFont="1" applyBorder="1"/>
    <xf numFmtId="0" fontId="9" fillId="0" borderId="14" xfId="0" applyFont="1" applyBorder="1"/>
    <xf numFmtId="0" fontId="9" fillId="0" borderId="12" xfId="0" applyFont="1" applyBorder="1" applyAlignment="1">
      <alignment horizontal="left"/>
    </xf>
    <xf numFmtId="0" fontId="21" fillId="0" borderId="0" xfId="0" applyFont="1"/>
    <xf numFmtId="3" fontId="21" fillId="0" borderId="0" xfId="0" applyNumberFormat="1" applyFont="1"/>
    <xf numFmtId="3" fontId="9" fillId="0" borderId="0" xfId="0" applyNumberFormat="1" applyFont="1"/>
    <xf numFmtId="3" fontId="9" fillId="0" borderId="13" xfId="0" applyNumberFormat="1" applyFont="1" applyBorder="1"/>
    <xf numFmtId="0" fontId="16" fillId="0" borderId="12" xfId="0" applyFont="1" applyBorder="1" applyAlignment="1">
      <alignment horizontal="left"/>
    </xf>
    <xf numFmtId="0" fontId="9" fillId="0" borderId="18" xfId="0" applyFont="1" applyBorder="1" applyAlignment="1">
      <alignment horizontal="right"/>
    </xf>
    <xf numFmtId="0" fontId="9" fillId="0" borderId="19" xfId="0" applyFont="1" applyBorder="1" applyAlignment="1">
      <alignment horizontal="left"/>
    </xf>
    <xf numFmtId="0" fontId="9" fillId="0" borderId="19" xfId="0" applyFont="1" applyBorder="1"/>
    <xf numFmtId="0" fontId="9" fillId="0" borderId="20" xfId="0" applyFont="1" applyBorder="1"/>
    <xf numFmtId="0" fontId="9" fillId="0" borderId="21" xfId="0" applyFont="1" applyBorder="1"/>
    <xf numFmtId="0" fontId="9" fillId="11" borderId="0" xfId="0" applyFont="1" applyFill="1"/>
    <xf numFmtId="0" fontId="67" fillId="5" borderId="8" xfId="0" applyFont="1" applyFill="1" applyBorder="1" applyAlignment="1">
      <alignment horizontal="left"/>
    </xf>
    <xf numFmtId="0" fontId="16" fillId="5" borderId="9" xfId="0" applyFont="1" applyFill="1" applyBorder="1" applyAlignment="1">
      <alignment horizontal="centerContinuous"/>
    </xf>
    <xf numFmtId="0" fontId="16" fillId="5" borderId="9" xfId="0" quotePrefix="1" applyFont="1" applyFill="1" applyBorder="1" applyAlignment="1">
      <alignment horizontal="centerContinuous"/>
    </xf>
    <xf numFmtId="0" fontId="16" fillId="5" borderId="11" xfId="0" applyFont="1" applyFill="1" applyBorder="1" applyAlignment="1">
      <alignment horizontal="centerContinuous"/>
    </xf>
    <xf numFmtId="0" fontId="9" fillId="11" borderId="0" xfId="0" applyFont="1" applyFill="1" applyAlignment="1">
      <alignment horizontal="left"/>
    </xf>
    <xf numFmtId="0" fontId="15" fillId="11" borderId="0" xfId="0" applyFont="1" applyFill="1"/>
    <xf numFmtId="0" fontId="16" fillId="11" borderId="0" xfId="0" applyFont="1" applyFill="1"/>
    <xf numFmtId="0" fontId="67" fillId="5" borderId="76" xfId="0" quotePrefix="1" applyFont="1" applyFill="1" applyBorder="1" applyAlignment="1">
      <alignment horizontal="left"/>
    </xf>
    <xf numFmtId="0" fontId="16" fillId="5" borderId="55" xfId="0" applyFont="1" applyFill="1" applyBorder="1" applyAlignment="1">
      <alignment horizontal="centerContinuous"/>
    </xf>
    <xf numFmtId="0" fontId="16" fillId="5" borderId="55" xfId="0" quotePrefix="1" applyFont="1" applyFill="1" applyBorder="1" applyAlignment="1">
      <alignment horizontal="centerContinuous"/>
    </xf>
    <xf numFmtId="0" fontId="9" fillId="11" borderId="12" xfId="0" applyFont="1" applyFill="1" applyBorder="1"/>
    <xf numFmtId="0" fontId="16" fillId="6" borderId="24" xfId="0" applyFont="1" applyFill="1" applyBorder="1" applyAlignment="1">
      <alignment horizontal="left"/>
    </xf>
    <xf numFmtId="0" fontId="16" fillId="6" borderId="4" xfId="0" applyFont="1" applyFill="1" applyBorder="1" applyAlignment="1">
      <alignment horizontal="centerContinuous"/>
    </xf>
    <xf numFmtId="0" fontId="16" fillId="6" borderId="4" xfId="0" quotePrefix="1" applyFont="1" applyFill="1" applyBorder="1" applyAlignment="1">
      <alignment horizontal="centerContinuous"/>
    </xf>
    <xf numFmtId="0" fontId="16" fillId="6" borderId="25" xfId="0" applyFont="1" applyFill="1" applyBorder="1" applyAlignment="1">
      <alignment horizontal="centerContinuous"/>
    </xf>
    <xf numFmtId="0" fontId="16" fillId="6" borderId="13" xfId="0" applyFont="1" applyFill="1" applyBorder="1" applyAlignment="1">
      <alignment horizontal="left"/>
    </xf>
    <xf numFmtId="0" fontId="16" fillId="6" borderId="0" xfId="0" applyFont="1" applyFill="1" applyAlignment="1">
      <alignment horizontal="centerContinuous"/>
    </xf>
    <xf numFmtId="0" fontId="16" fillId="6" borderId="0" xfId="0" quotePrefix="1" applyFont="1" applyFill="1" applyAlignment="1">
      <alignment horizontal="centerContinuous"/>
    </xf>
    <xf numFmtId="0" fontId="16" fillId="6" borderId="22" xfId="0" applyFont="1" applyFill="1" applyBorder="1" applyAlignment="1">
      <alignment horizontal="centerContinuous"/>
    </xf>
    <xf numFmtId="0" fontId="9" fillId="6" borderId="13" xfId="0" applyFont="1" applyFill="1" applyBorder="1"/>
    <xf numFmtId="0" fontId="16" fillId="6" borderId="0" xfId="0" applyFont="1" applyFill="1"/>
    <xf numFmtId="0" fontId="16" fillId="6" borderId="22" xfId="0" applyFont="1" applyFill="1" applyBorder="1"/>
    <xf numFmtId="0" fontId="43" fillId="11" borderId="0" xfId="0" applyFont="1" applyFill="1" applyAlignment="1">
      <alignment horizontal="right"/>
    </xf>
    <xf numFmtId="0" fontId="9" fillId="6" borderId="16" xfId="0" applyFont="1" applyFill="1" applyBorder="1"/>
    <xf numFmtId="0" fontId="16" fillId="6" borderId="7" xfId="0" applyFont="1" applyFill="1" applyBorder="1"/>
    <xf numFmtId="0" fontId="16" fillId="6" borderId="23" xfId="0" applyFont="1" applyFill="1" applyBorder="1"/>
    <xf numFmtId="0" fontId="24" fillId="15" borderId="24" xfId="0" applyFont="1" applyFill="1" applyBorder="1"/>
    <xf numFmtId="0" fontId="24" fillId="15" borderId="4" xfId="0" applyFont="1" applyFill="1" applyBorder="1"/>
    <xf numFmtId="0" fontId="24" fillId="15" borderId="4" xfId="0" applyFont="1" applyFill="1" applyBorder="1" applyAlignment="1">
      <alignment horizontal="left"/>
    </xf>
    <xf numFmtId="0" fontId="24" fillId="15" borderId="5" xfId="0" applyFont="1" applyFill="1" applyBorder="1"/>
    <xf numFmtId="0" fontId="24" fillId="15" borderId="6" xfId="0" applyFont="1" applyFill="1" applyBorder="1" applyAlignment="1">
      <alignment horizontal="left"/>
    </xf>
    <xf numFmtId="0" fontId="24" fillId="15" borderId="6" xfId="0" applyFont="1" applyFill="1" applyBorder="1"/>
    <xf numFmtId="0" fontId="24" fillId="15" borderId="65" xfId="0" applyFont="1" applyFill="1" applyBorder="1"/>
    <xf numFmtId="0" fontId="43" fillId="15" borderId="24" xfId="0" applyFont="1" applyFill="1" applyBorder="1" applyAlignment="1">
      <alignment horizontal="right"/>
    </xf>
    <xf numFmtId="0" fontId="43" fillId="15" borderId="4" xfId="0" applyFont="1" applyFill="1" applyBorder="1" applyAlignment="1">
      <alignment horizontal="right"/>
    </xf>
    <xf numFmtId="0" fontId="43" fillId="15" borderId="25" xfId="0" applyFont="1" applyFill="1" applyBorder="1" applyAlignment="1">
      <alignment horizontal="right"/>
    </xf>
    <xf numFmtId="0" fontId="35" fillId="11" borderId="0" xfId="0" applyFont="1" applyFill="1"/>
    <xf numFmtId="0" fontId="24" fillId="15" borderId="13" xfId="0" applyFont="1" applyFill="1" applyBorder="1"/>
    <xf numFmtId="0" fontId="24" fillId="15" borderId="0" xfId="0" applyFont="1" applyFill="1"/>
    <xf numFmtId="0" fontId="24" fillId="15" borderId="0" xfId="0" applyFont="1" applyFill="1" applyAlignment="1">
      <alignment horizontal="center"/>
    </xf>
    <xf numFmtId="0" fontId="24" fillId="15" borderId="22" xfId="0" applyFont="1" applyFill="1" applyBorder="1"/>
    <xf numFmtId="0" fontId="24" fillId="11" borderId="0" xfId="0" applyFont="1" applyFill="1"/>
    <xf numFmtId="0" fontId="18" fillId="11" borderId="0" xfId="0" applyFont="1" applyFill="1"/>
    <xf numFmtId="2" fontId="24" fillId="15" borderId="0" xfId="0" applyNumberFormat="1" applyFont="1" applyFill="1"/>
    <xf numFmtId="10" fontId="24" fillId="15" borderId="0" xfId="0" applyNumberFormat="1" applyFont="1" applyFill="1"/>
    <xf numFmtId="166" fontId="24" fillId="15" borderId="0" xfId="0" applyNumberFormat="1" applyFont="1" applyFill="1" applyAlignment="1">
      <alignment horizontal="left"/>
    </xf>
    <xf numFmtId="166" fontId="24" fillId="15" borderId="0" xfId="0" applyNumberFormat="1" applyFont="1" applyFill="1"/>
    <xf numFmtId="0" fontId="24" fillId="15" borderId="22" xfId="0" applyFont="1" applyFill="1" applyBorder="1" applyAlignment="1">
      <alignment horizontal="left"/>
    </xf>
    <xf numFmtId="0" fontId="24" fillId="11" borderId="0" xfId="0" applyFont="1" applyFill="1" applyAlignment="1">
      <alignment horizontal="right"/>
    </xf>
    <xf numFmtId="165" fontId="24" fillId="15" borderId="0" xfId="0" applyNumberFormat="1" applyFont="1" applyFill="1"/>
    <xf numFmtId="165" fontId="24" fillId="15" borderId="22" xfId="0" applyNumberFormat="1" applyFont="1" applyFill="1" applyBorder="1"/>
    <xf numFmtId="0" fontId="24" fillId="15" borderId="16" xfId="0" applyFont="1" applyFill="1" applyBorder="1"/>
    <xf numFmtId="0" fontId="24" fillId="15" borderId="7" xfId="0" applyFont="1" applyFill="1" applyBorder="1"/>
    <xf numFmtId="0" fontId="24" fillId="15" borderId="7" xfId="0" applyFont="1" applyFill="1" applyBorder="1" applyAlignment="1">
      <alignment horizontal="left"/>
    </xf>
    <xf numFmtId="166" fontId="24" fillId="15" borderId="7" xfId="0" applyNumberFormat="1" applyFont="1" applyFill="1" applyBorder="1"/>
    <xf numFmtId="10" fontId="24" fillId="15" borderId="7" xfId="0" applyNumberFormat="1" applyFont="1" applyFill="1" applyBorder="1"/>
    <xf numFmtId="2" fontId="24" fillId="15" borderId="7" xfId="0" applyNumberFormat="1" applyFont="1" applyFill="1" applyBorder="1"/>
    <xf numFmtId="171" fontId="24" fillId="15" borderId="7" xfId="0" applyNumberFormat="1" applyFont="1" applyFill="1" applyBorder="1"/>
    <xf numFmtId="166" fontId="24" fillId="15" borderId="7" xfId="0" applyNumberFormat="1" applyFont="1" applyFill="1" applyBorder="1" applyAlignment="1">
      <alignment horizontal="left"/>
    </xf>
    <xf numFmtId="0" fontId="24" fillId="15" borderId="23" xfId="0" applyFont="1" applyFill="1" applyBorder="1"/>
    <xf numFmtId="167" fontId="35" fillId="11" borderId="66" xfId="0" applyNumberFormat="1" applyFont="1" applyFill="1" applyBorder="1" applyAlignment="1">
      <alignment horizontal="left"/>
    </xf>
    <xf numFmtId="167" fontId="35" fillId="11" borderId="66" xfId="0" applyNumberFormat="1" applyFont="1" applyFill="1" applyBorder="1"/>
    <xf numFmtId="0" fontId="35" fillId="11" borderId="66" xfId="0" applyFont="1" applyFill="1" applyBorder="1"/>
    <xf numFmtId="0" fontId="35" fillId="0" borderId="0" xfId="0" applyFont="1"/>
    <xf numFmtId="167" fontId="9" fillId="11" borderId="0" xfId="0" applyNumberFormat="1" applyFont="1" applyFill="1" applyAlignment="1">
      <alignment horizontal="fill"/>
    </xf>
    <xf numFmtId="167" fontId="9" fillId="11" borderId="0" xfId="0" applyNumberFormat="1" applyFont="1" applyFill="1" applyAlignment="1">
      <alignment horizontal="center"/>
    </xf>
    <xf numFmtId="0" fontId="24" fillId="11" borderId="77" xfId="0" applyFont="1" applyFill="1" applyBorder="1"/>
    <xf numFmtId="0" fontId="24" fillId="15" borderId="16" xfId="0" applyFont="1" applyFill="1" applyBorder="1" applyAlignment="1">
      <alignment horizontal="center"/>
    </xf>
    <xf numFmtId="165" fontId="24" fillId="15" borderId="7" xfId="0" applyNumberFormat="1" applyFont="1" applyFill="1" applyBorder="1"/>
    <xf numFmtId="167" fontId="9" fillId="5" borderId="13" xfId="0" applyNumberFormat="1" applyFont="1" applyFill="1" applyBorder="1"/>
    <xf numFmtId="0" fontId="16" fillId="5" borderId="0" xfId="0" applyFont="1" applyFill="1"/>
    <xf numFmtId="168" fontId="16" fillId="5" borderId="0" xfId="0" applyNumberFormat="1" applyFont="1" applyFill="1" applyAlignment="1">
      <alignment horizontal="right"/>
    </xf>
    <xf numFmtId="0" fontId="16" fillId="5" borderId="0" xfId="0" applyFont="1" applyFill="1" applyAlignment="1">
      <alignment horizontal="left"/>
    </xf>
    <xf numFmtId="168" fontId="16" fillId="5" borderId="13" xfId="0" applyNumberFormat="1" applyFont="1" applyFill="1" applyBorder="1" applyAlignment="1">
      <alignment horizontal="right"/>
    </xf>
    <xf numFmtId="0" fontId="16" fillId="5" borderId="0" xfId="0" applyFont="1" applyFill="1" applyAlignment="1">
      <alignment horizontal="right"/>
    </xf>
    <xf numFmtId="0" fontId="9" fillId="5" borderId="22" xfId="0" applyFont="1" applyFill="1" applyBorder="1"/>
    <xf numFmtId="167" fontId="9" fillId="5" borderId="16" xfId="0" applyNumberFormat="1" applyFont="1" applyFill="1" applyBorder="1"/>
    <xf numFmtId="167" fontId="9" fillId="5" borderId="7" xfId="0" applyNumberFormat="1" applyFont="1" applyFill="1" applyBorder="1" applyAlignment="1">
      <alignment horizontal="fill"/>
    </xf>
    <xf numFmtId="167" fontId="9" fillId="5" borderId="16" xfId="0" applyNumberFormat="1" applyFont="1" applyFill="1" applyBorder="1" applyAlignment="1">
      <alignment horizontal="fill"/>
    </xf>
    <xf numFmtId="0" fontId="9" fillId="5" borderId="23" xfId="0" applyFont="1" applyFill="1" applyBorder="1"/>
    <xf numFmtId="166" fontId="9" fillId="11" borderId="0" xfId="0" applyNumberFormat="1" applyFont="1" applyFill="1"/>
    <xf numFmtId="167" fontId="9" fillId="15" borderId="13" xfId="0" applyNumberFormat="1" applyFont="1" applyFill="1" applyBorder="1"/>
    <xf numFmtId="168" fontId="68" fillId="15" borderId="0" xfId="0" quotePrefix="1" applyNumberFormat="1" applyFont="1" applyFill="1" applyAlignment="1">
      <alignment horizontal="left"/>
    </xf>
    <xf numFmtId="168" fontId="68" fillId="15" borderId="0" xfId="0" applyNumberFormat="1" applyFont="1" applyFill="1" applyAlignment="1">
      <alignment horizontal="left"/>
    </xf>
    <xf numFmtId="0" fontId="68" fillId="15" borderId="0" xfId="0" applyFont="1" applyFill="1"/>
    <xf numFmtId="3" fontId="68" fillId="15" borderId="0" xfId="0" applyNumberFormat="1" applyFont="1" applyFill="1"/>
    <xf numFmtId="3" fontId="68" fillId="15" borderId="13" xfId="0" applyNumberFormat="1" applyFont="1" applyFill="1" applyBorder="1"/>
    <xf numFmtId="0" fontId="9" fillId="15" borderId="22" xfId="0" applyFont="1" applyFill="1" applyBorder="1"/>
    <xf numFmtId="0" fontId="68" fillId="15" borderId="0" xfId="0" applyFont="1" applyFill="1" applyAlignment="1">
      <alignment horizontal="left"/>
    </xf>
    <xf numFmtId="3" fontId="9" fillId="11" borderId="0" xfId="0" applyNumberFormat="1" applyFont="1" applyFill="1"/>
    <xf numFmtId="0" fontId="9" fillId="15" borderId="13" xfId="0" applyFont="1" applyFill="1" applyBorder="1"/>
    <xf numFmtId="168" fontId="9" fillId="11" borderId="0" xfId="0" applyNumberFormat="1" applyFont="1" applyFill="1"/>
    <xf numFmtId="0" fontId="68" fillId="15" borderId="51" xfId="0" applyFont="1" applyFill="1" applyBorder="1" applyAlignment="1">
      <alignment horizontal="left"/>
    </xf>
    <xf numFmtId="0" fontId="68" fillId="15" borderId="51" xfId="0" applyFont="1" applyFill="1" applyBorder="1"/>
    <xf numFmtId="3" fontId="68" fillId="15" borderId="51" xfId="0" applyNumberFormat="1" applyFont="1" applyFill="1" applyBorder="1"/>
    <xf numFmtId="3" fontId="68" fillId="25" borderId="51" xfId="0" applyNumberFormat="1" applyFont="1" applyFill="1" applyBorder="1"/>
    <xf numFmtId="3" fontId="68" fillId="15" borderId="67" xfId="0" applyNumberFormat="1" applyFont="1" applyFill="1" applyBorder="1"/>
    <xf numFmtId="3" fontId="68" fillId="15" borderId="22" xfId="0" applyNumberFormat="1" applyFont="1" applyFill="1" applyBorder="1"/>
    <xf numFmtId="0" fontId="9" fillId="15" borderId="16" xfId="0" applyFont="1" applyFill="1" applyBorder="1" applyAlignment="1">
      <alignment horizontal="right"/>
    </xf>
    <xf numFmtId="0" fontId="9" fillId="15" borderId="7" xfId="0" applyFont="1" applyFill="1" applyBorder="1" applyAlignment="1">
      <alignment horizontal="left"/>
    </xf>
    <xf numFmtId="0" fontId="9" fillId="15" borderId="7" xfId="0" applyFont="1" applyFill="1" applyBorder="1"/>
    <xf numFmtId="3" fontId="9" fillId="15" borderId="7" xfId="0" applyNumberFormat="1" applyFont="1" applyFill="1" applyBorder="1"/>
    <xf numFmtId="3" fontId="9" fillId="15" borderId="16" xfId="0" applyNumberFormat="1" applyFont="1" applyFill="1" applyBorder="1"/>
    <xf numFmtId="0" fontId="9" fillId="15" borderId="23" xfId="0" applyFont="1" applyFill="1" applyBorder="1"/>
    <xf numFmtId="169" fontId="0" fillId="25" borderId="0" xfId="0" applyNumberFormat="1" applyFill="1" applyAlignment="1">
      <alignment horizontal="center"/>
    </xf>
    <xf numFmtId="0" fontId="109" fillId="30" borderId="0" xfId="0" applyFont="1" applyFill="1"/>
    <xf numFmtId="0" fontId="109" fillId="30" borderId="0" xfId="0" applyFont="1" applyFill="1" applyAlignment="1">
      <alignment wrapText="1"/>
    </xf>
    <xf numFmtId="176" fontId="109" fillId="30" borderId="0" xfId="0" applyNumberFormat="1" applyFont="1" applyFill="1" applyAlignment="1">
      <alignment wrapText="1"/>
    </xf>
    <xf numFmtId="178" fontId="109" fillId="30" borderId="0" xfId="66" applyNumberFormat="1" applyFont="1" applyFill="1" applyAlignment="1">
      <alignment wrapText="1"/>
    </xf>
    <xf numFmtId="0" fontId="109" fillId="0" borderId="0" xfId="0" applyFont="1"/>
    <xf numFmtId="178" fontId="109" fillId="0" borderId="0" xfId="66" applyNumberFormat="1" applyFont="1"/>
    <xf numFmtId="177" fontId="0" fillId="0" borderId="0" xfId="0" applyNumberFormat="1"/>
    <xf numFmtId="177" fontId="109" fillId="0" borderId="0" xfId="0" applyNumberFormat="1" applyFont="1"/>
    <xf numFmtId="178" fontId="109" fillId="25" borderId="0" xfId="66" applyNumberFormat="1" applyFont="1" applyFill="1"/>
    <xf numFmtId="0" fontId="69"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57" fillId="0" borderId="0" xfId="0" applyFont="1" applyAlignment="1">
      <alignment vertical="center"/>
    </xf>
    <xf numFmtId="0" fontId="0" fillId="0" borderId="0" xfId="0" applyAlignment="1">
      <alignment horizontal="center" vertical="center"/>
    </xf>
    <xf numFmtId="0" fontId="6" fillId="0" borderId="0" xfId="0" applyFont="1" applyAlignment="1">
      <alignment horizontal="center"/>
    </xf>
    <xf numFmtId="0" fontId="6" fillId="0" borderId="24" xfId="0" applyFont="1" applyBorder="1" applyAlignment="1">
      <alignment horizontal="center"/>
    </xf>
    <xf numFmtId="0" fontId="6" fillId="0" borderId="4" xfId="0" applyFont="1" applyBorder="1" applyAlignment="1">
      <alignment horizontal="center"/>
    </xf>
    <xf numFmtId="0" fontId="6" fillId="0" borderId="25" xfId="0" applyFont="1" applyBorder="1" applyAlignment="1">
      <alignment horizontal="center"/>
    </xf>
    <xf numFmtId="0" fontId="3" fillId="0" borderId="0" xfId="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xf>
    <xf numFmtId="49" fontId="1" fillId="0" borderId="0" xfId="0" applyNumberFormat="1" applyFont="1" applyAlignment="1">
      <alignment horizontal="left"/>
    </xf>
    <xf numFmtId="49" fontId="25" fillId="0" borderId="0" xfId="1" applyNumberFormat="1" applyFont="1" applyFill="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wrapText="1"/>
    </xf>
    <xf numFmtId="0" fontId="2" fillId="0" borderId="0" xfId="0" applyFont="1" applyAlignment="1">
      <alignment horizontal="center"/>
    </xf>
    <xf numFmtId="0" fontId="69" fillId="0" borderId="0" xfId="0" applyFont="1" applyAlignment="1">
      <alignment horizontal="left" vertical="center"/>
    </xf>
    <xf numFmtId="0" fontId="0" fillId="0" borderId="0" xfId="0" applyAlignment="1">
      <alignment horizontal="left" vertical="center" wrapText="1"/>
    </xf>
    <xf numFmtId="0" fontId="69" fillId="0" borderId="0" xfId="0" applyFont="1" applyAlignment="1">
      <alignment horizontal="left" vertical="center" wrapText="1"/>
    </xf>
    <xf numFmtId="0" fontId="110" fillId="0" borderId="0" xfId="0" applyFont="1" applyAlignment="1">
      <alignment horizontal="left" vertical="center" wrapText="1"/>
    </xf>
    <xf numFmtId="0" fontId="0" fillId="0" borderId="0" xfId="0" applyAlignment="1">
      <alignment horizontal="left" wrapText="1"/>
    </xf>
    <xf numFmtId="0" fontId="69" fillId="0" borderId="0" xfId="0" applyFont="1" applyAlignment="1">
      <alignment horizontal="left" wrapText="1"/>
    </xf>
    <xf numFmtId="0" fontId="69" fillId="0" borderId="0" xfId="0" applyFont="1" applyAlignment="1">
      <alignment horizontal="left"/>
    </xf>
    <xf numFmtId="0" fontId="0" fillId="0" borderId="0" xfId="0" applyAlignment="1">
      <alignment horizontal="left"/>
    </xf>
    <xf numFmtId="0" fontId="7" fillId="0" borderId="0" xfId="7" applyFont="1" applyAlignment="1">
      <alignment horizontal="center" wrapText="1"/>
    </xf>
    <xf numFmtId="0" fontId="26" fillId="0" borderId="0" xfId="0" applyFont="1" applyAlignment="1">
      <alignment horizontal="left" wrapText="1"/>
    </xf>
    <xf numFmtId="0" fontId="65" fillId="0" borderId="0" xfId="0" applyFont="1" applyAlignment="1">
      <alignment horizontal="left" vertical="center" wrapText="1"/>
    </xf>
    <xf numFmtId="0" fontId="38" fillId="0" borderId="0" xfId="14" applyFont="1" applyAlignment="1" applyProtection="1">
      <alignment horizontal="left"/>
      <protection hidden="1"/>
    </xf>
    <xf numFmtId="0" fontId="38" fillId="0" borderId="0" xfId="14" applyFont="1" applyAlignment="1" applyProtection="1">
      <alignment horizontal="left" wrapText="1"/>
      <protection hidden="1"/>
    </xf>
    <xf numFmtId="0" fontId="31" fillId="0" borderId="0" xfId="0" applyFont="1" applyAlignment="1">
      <alignment horizontal="left" vertical="top" wrapText="1"/>
    </xf>
    <xf numFmtId="0" fontId="31" fillId="0" borderId="0" xfId="0" applyFont="1" applyAlignment="1">
      <alignment horizontal="left" wrapText="1"/>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31" fillId="0" borderId="33" xfId="0" applyFont="1" applyBorder="1" applyAlignment="1">
      <alignment horizontal="center" vertical="center" wrapText="1"/>
    </xf>
    <xf numFmtId="0" fontId="31" fillId="0" borderId="34" xfId="0" applyFont="1" applyBorder="1" applyAlignment="1">
      <alignment horizontal="left" vertical="center"/>
    </xf>
    <xf numFmtId="0" fontId="33" fillId="0" borderId="0" xfId="0" applyFont="1" applyAlignment="1">
      <alignment horizontal="center"/>
    </xf>
    <xf numFmtId="0" fontId="32" fillId="0" borderId="31" xfId="0" applyFont="1" applyBorder="1" applyAlignment="1">
      <alignment horizontal="center"/>
    </xf>
    <xf numFmtId="0" fontId="32" fillId="0" borderId="55" xfId="0" applyFont="1" applyBorder="1" applyAlignment="1">
      <alignment horizontal="center"/>
    </xf>
    <xf numFmtId="0" fontId="32" fillId="0" borderId="32" xfId="0" applyFont="1" applyBorder="1" applyAlignment="1">
      <alignment horizontal="center"/>
    </xf>
    <xf numFmtId="0" fontId="31" fillId="0" borderId="33" xfId="0" applyFont="1" applyBorder="1" applyAlignment="1">
      <alignment horizontal="left" vertical="center" wrapText="1"/>
    </xf>
    <xf numFmtId="0" fontId="31" fillId="0" borderId="33" xfId="0" applyFont="1" applyBorder="1" applyAlignment="1">
      <alignment horizontal="left" vertical="center"/>
    </xf>
    <xf numFmtId="0" fontId="31" fillId="0" borderId="0" xfId="0" applyFont="1" applyAlignment="1">
      <alignment horizontal="left"/>
    </xf>
    <xf numFmtId="0" fontId="31" fillId="0" borderId="0" xfId="0" applyFont="1" applyAlignment="1">
      <alignment horizontal="left" vertical="center" wrapText="1"/>
    </xf>
    <xf numFmtId="0" fontId="24" fillId="15" borderId="4" xfId="0" applyFont="1" applyFill="1" applyBorder="1" applyAlignment="1">
      <alignment horizontal="center"/>
    </xf>
    <xf numFmtId="167" fontId="16" fillId="5" borderId="24" xfId="0" applyNumberFormat="1" applyFont="1" applyFill="1" applyBorder="1" applyAlignment="1">
      <alignment horizontal="center"/>
    </xf>
    <xf numFmtId="167" fontId="16" fillId="5" borderId="4" xfId="0" applyNumberFormat="1" applyFont="1" applyFill="1" applyBorder="1" applyAlignment="1">
      <alignment horizontal="center"/>
    </xf>
    <xf numFmtId="167" fontId="16" fillId="5" borderId="25" xfId="0" applyNumberFormat="1" applyFont="1" applyFill="1" applyBorder="1" applyAlignment="1">
      <alignment horizontal="center"/>
    </xf>
    <xf numFmtId="0" fontId="16" fillId="5" borderId="10" xfId="0" applyFont="1" applyFill="1" applyBorder="1" applyAlignment="1">
      <alignment horizontal="center"/>
    </xf>
    <xf numFmtId="0" fontId="16" fillId="5" borderId="9" xfId="0" applyFont="1" applyFill="1" applyBorder="1" applyAlignment="1">
      <alignment horizontal="center"/>
    </xf>
    <xf numFmtId="0" fontId="9" fillId="0" borderId="12" xfId="0" applyFont="1" applyBorder="1"/>
    <xf numFmtId="0" fontId="9" fillId="0" borderId="0" xfId="0" applyFont="1"/>
    <xf numFmtId="0" fontId="18" fillId="0" borderId="0" xfId="0" applyFont="1"/>
    <xf numFmtId="0" fontId="16" fillId="28" borderId="9" xfId="0" applyFont="1" applyFill="1" applyBorder="1" applyAlignment="1">
      <alignment horizontal="center"/>
    </xf>
    <xf numFmtId="0" fontId="16" fillId="28" borderId="10" xfId="0" applyFont="1" applyFill="1" applyBorder="1" applyAlignment="1">
      <alignment horizontal="center"/>
    </xf>
    <xf numFmtId="0" fontId="16" fillId="28" borderId="12" xfId="0" applyFont="1" applyFill="1" applyBorder="1" applyAlignment="1">
      <alignment horizontal="left"/>
    </xf>
    <xf numFmtId="0" fontId="16" fillId="28" borderId="0" xfId="0" applyFont="1" applyFill="1" applyAlignment="1">
      <alignment horizontal="left"/>
    </xf>
    <xf numFmtId="0" fontId="108" fillId="0" borderId="34" xfId="0" applyFont="1" applyBorder="1"/>
    <xf numFmtId="0" fontId="108" fillId="0" borderId="0" xfId="0" applyFont="1"/>
    <xf numFmtId="0" fontId="15" fillId="0" borderId="34" xfId="0" applyFont="1" applyBorder="1"/>
    <xf numFmtId="0" fontId="15" fillId="0" borderId="0" xfId="0" applyFont="1"/>
    <xf numFmtId="0" fontId="18" fillId="0" borderId="4" xfId="0" applyFont="1" applyBorder="1" applyAlignment="1">
      <alignment horizontal="center"/>
    </xf>
    <xf numFmtId="0" fontId="37" fillId="18" borderId="29" xfId="7" applyFont="1" applyFill="1" applyBorder="1" applyAlignment="1">
      <alignment wrapText="1"/>
    </xf>
    <xf numFmtId="0" fontId="78" fillId="18" borderId="29" xfId="7" applyFont="1" applyFill="1" applyBorder="1"/>
    <xf numFmtId="0" fontId="35" fillId="21" borderId="29" xfId="7" applyFont="1" applyFill="1" applyBorder="1" applyAlignment="1">
      <alignment horizontal="left"/>
    </xf>
    <xf numFmtId="0" fontId="24" fillId="0" borderId="29" xfId="7" applyBorder="1"/>
    <xf numFmtId="0" fontId="37" fillId="21" borderId="29" xfId="7" quotePrefix="1" applyFont="1" applyFill="1" applyBorder="1" applyAlignment="1">
      <alignment horizontal="left"/>
    </xf>
    <xf numFmtId="0" fontId="9" fillId="11" borderId="55" xfId="67" applyFont="1" applyFill="1" applyBorder="1" applyAlignment="1">
      <alignment horizontal="center" wrapText="1"/>
    </xf>
    <xf numFmtId="0" fontId="9" fillId="11" borderId="0" xfId="67" applyFont="1" applyFill="1" applyAlignment="1">
      <alignment horizontal="center" wrapText="1"/>
    </xf>
    <xf numFmtId="0" fontId="18" fillId="15" borderId="4" xfId="67" applyFont="1" applyFill="1" applyBorder="1" applyAlignment="1">
      <alignment horizontal="center"/>
    </xf>
    <xf numFmtId="0" fontId="16" fillId="5" borderId="12" xfId="67" applyFont="1" applyFill="1" applyBorder="1" applyAlignment="1">
      <alignment horizontal="left"/>
    </xf>
    <xf numFmtId="0" fontId="101" fillId="0" borderId="0" xfId="67" applyAlignment="1">
      <alignment horizontal="left"/>
    </xf>
    <xf numFmtId="0" fontId="22" fillId="0" borderId="0" xfId="67" applyFont="1" applyAlignment="1">
      <alignment vertical="top" wrapText="1"/>
    </xf>
    <xf numFmtId="0" fontId="9" fillId="0" borderId="0" xfId="67" applyFont="1" applyAlignment="1">
      <alignment vertical="top" wrapText="1"/>
    </xf>
    <xf numFmtId="0" fontId="9" fillId="11" borderId="0" xfId="67" applyFont="1" applyFill="1" applyAlignment="1">
      <alignment horizontal="center" textRotation="90"/>
    </xf>
    <xf numFmtId="0" fontId="9" fillId="11" borderId="55" xfId="67" applyFont="1" applyFill="1" applyBorder="1" applyAlignment="1">
      <alignment horizontal="center" textRotation="90"/>
    </xf>
    <xf numFmtId="0" fontId="24" fillId="15" borderId="4" xfId="67" applyFont="1" applyFill="1" applyBorder="1" applyAlignment="1">
      <alignment horizontal="center"/>
    </xf>
    <xf numFmtId="167" fontId="16" fillId="5" borderId="24" xfId="67" applyNumberFormat="1" applyFont="1" applyFill="1" applyBorder="1" applyAlignment="1">
      <alignment horizontal="center"/>
    </xf>
    <xf numFmtId="167" fontId="16" fillId="5" borderId="4" xfId="67" applyNumberFormat="1" applyFont="1" applyFill="1" applyBorder="1" applyAlignment="1">
      <alignment horizontal="center"/>
    </xf>
    <xf numFmtId="167" fontId="16" fillId="5" borderId="25" xfId="67" applyNumberFormat="1" applyFont="1" applyFill="1" applyBorder="1" applyAlignment="1">
      <alignment horizontal="center"/>
    </xf>
    <xf numFmtId="0" fontId="16" fillId="5" borderId="10" xfId="67" applyFont="1" applyFill="1" applyBorder="1" applyAlignment="1">
      <alignment horizontal="center"/>
    </xf>
    <xf numFmtId="0" fontId="16" fillId="5" borderId="9" xfId="67" applyFont="1" applyFill="1" applyBorder="1" applyAlignment="1">
      <alignment horizontal="center"/>
    </xf>
    <xf numFmtId="0" fontId="24" fillId="15" borderId="4" xfId="7" applyFill="1" applyBorder="1" applyAlignment="1">
      <alignment horizontal="center"/>
    </xf>
    <xf numFmtId="167" fontId="16" fillId="5" borderId="24" xfId="7" applyNumberFormat="1" applyFont="1" applyFill="1" applyBorder="1" applyAlignment="1">
      <alignment horizontal="center"/>
    </xf>
    <xf numFmtId="167" fontId="16" fillId="5" borderId="4" xfId="7" applyNumberFormat="1" applyFont="1" applyFill="1" applyBorder="1" applyAlignment="1">
      <alignment horizontal="center"/>
    </xf>
    <xf numFmtId="167" fontId="16" fillId="5" borderId="25" xfId="7" applyNumberFormat="1" applyFont="1" applyFill="1" applyBorder="1" applyAlignment="1">
      <alignment horizontal="center"/>
    </xf>
    <xf numFmtId="0" fontId="16" fillId="5" borderId="10" xfId="7" applyFont="1" applyFill="1" applyBorder="1" applyAlignment="1">
      <alignment horizontal="center"/>
    </xf>
    <xf numFmtId="0" fontId="16" fillId="5" borderId="9" xfId="7" applyFont="1" applyFill="1" applyBorder="1" applyAlignment="1">
      <alignment horizontal="center"/>
    </xf>
    <xf numFmtId="0" fontId="16" fillId="5" borderId="11" xfId="7" applyFont="1" applyFill="1" applyBorder="1" applyAlignment="1">
      <alignment horizontal="center"/>
    </xf>
    <xf numFmtId="0" fontId="37" fillId="15" borderId="0" xfId="7" applyFont="1" applyFill="1" applyAlignment="1">
      <alignment horizontal="center"/>
    </xf>
    <xf numFmtId="0" fontId="37" fillId="18" borderId="31" xfId="7" applyFont="1" applyFill="1" applyBorder="1" applyAlignment="1">
      <alignment wrapText="1"/>
    </xf>
    <xf numFmtId="0" fontId="78" fillId="18" borderId="55" xfId="7" applyFont="1" applyFill="1" applyBorder="1"/>
    <xf numFmtId="0" fontId="78" fillId="18" borderId="32" xfId="7" applyFont="1" applyFill="1" applyBorder="1"/>
    <xf numFmtId="0" fontId="78" fillId="18" borderId="36" xfId="7" applyFont="1" applyFill="1" applyBorder="1"/>
    <xf numFmtId="0" fontId="78" fillId="18" borderId="51" xfId="7" applyFont="1" applyFill="1" applyBorder="1"/>
    <xf numFmtId="0" fontId="78" fillId="18" borderId="37" xfId="7" applyFont="1" applyFill="1" applyBorder="1"/>
    <xf numFmtId="0" fontId="35" fillId="15" borderId="24" xfId="7" applyFont="1" applyFill="1" applyBorder="1" applyAlignment="1">
      <alignment horizontal="left"/>
    </xf>
    <xf numFmtId="0" fontId="35" fillId="15" borderId="4" xfId="7" applyFont="1" applyFill="1" applyBorder="1" applyAlignment="1">
      <alignment horizontal="left"/>
    </xf>
    <xf numFmtId="168" fontId="35" fillId="15" borderId="24" xfId="7" applyNumberFormat="1" applyFont="1" applyFill="1" applyBorder="1" applyAlignment="1">
      <alignment horizontal="center"/>
    </xf>
    <xf numFmtId="168" fontId="35" fillId="15" borderId="4" xfId="7" applyNumberFormat="1" applyFont="1" applyFill="1" applyBorder="1" applyAlignment="1">
      <alignment horizontal="center"/>
    </xf>
    <xf numFmtId="168" fontId="35" fillId="15" borderId="25" xfId="7" applyNumberFormat="1" applyFont="1" applyFill="1" applyBorder="1" applyAlignment="1">
      <alignment horizontal="center"/>
    </xf>
    <xf numFmtId="0" fontId="35" fillId="15" borderId="13" xfId="7" applyFont="1" applyFill="1" applyBorder="1" applyAlignment="1">
      <alignment horizontal="center"/>
    </xf>
    <xf numFmtId="0" fontId="35" fillId="15" borderId="0" xfId="7" applyFont="1" applyFill="1" applyAlignment="1">
      <alignment horizontal="center"/>
    </xf>
    <xf numFmtId="0" fontId="35" fillId="15" borderId="22" xfId="7" applyFont="1" applyFill="1" applyBorder="1" applyAlignment="1">
      <alignment horizontal="center"/>
    </xf>
    <xf numFmtId="0" fontId="91" fillId="0" borderId="1" xfId="7" applyFont="1" applyBorder="1" applyAlignment="1" applyProtection="1">
      <alignment horizontal="left" vertical="center" wrapText="1"/>
      <protection hidden="1"/>
    </xf>
    <xf numFmtId="0" fontId="91" fillId="0" borderId="3" xfId="7" applyFont="1" applyBorder="1" applyAlignment="1" applyProtection="1">
      <alignment horizontal="left" vertical="center" wrapText="1"/>
      <protection hidden="1"/>
    </xf>
    <xf numFmtId="0" fontId="81" fillId="0" borderId="0" xfId="14" applyFont="1" applyAlignment="1" applyProtection="1">
      <alignment horizontal="left"/>
      <protection hidden="1"/>
    </xf>
    <xf numFmtId="0" fontId="81" fillId="0" borderId="49" xfId="7" applyFont="1" applyBorder="1" applyAlignment="1" applyProtection="1">
      <alignment horizontal="left" vertical="center"/>
      <protection hidden="1"/>
    </xf>
    <xf numFmtId="0" fontId="81" fillId="0" borderId="38" xfId="7" applyFont="1" applyBorder="1" applyAlignment="1" applyProtection="1">
      <alignment horizontal="left" vertical="center"/>
      <protection hidden="1"/>
    </xf>
    <xf numFmtId="0" fontId="82" fillId="0" borderId="2" xfId="7" applyFont="1" applyBorder="1" applyAlignment="1" applyProtection="1">
      <alignment horizontal="left" vertical="center" wrapText="1"/>
      <protection hidden="1"/>
    </xf>
    <xf numFmtId="0" fontId="82" fillId="0" borderId="1" xfId="7" applyFont="1" applyBorder="1" applyAlignment="1" applyProtection="1">
      <alignment horizontal="left" vertical="center" wrapText="1"/>
      <protection hidden="1"/>
    </xf>
    <xf numFmtId="0" fontId="82" fillId="0" borderId="3" xfId="7" applyFont="1" applyBorder="1" applyAlignment="1" applyProtection="1">
      <alignment horizontal="left" vertical="center" wrapText="1"/>
      <protection hidden="1"/>
    </xf>
    <xf numFmtId="0" fontId="82" fillId="0" borderId="2" xfId="7" applyFont="1" applyBorder="1" applyAlignment="1" applyProtection="1">
      <alignment horizontal="left" vertical="center"/>
      <protection hidden="1"/>
    </xf>
    <xf numFmtId="0" fontId="82" fillId="0" borderId="1" xfId="7" applyFont="1" applyBorder="1" applyAlignment="1" applyProtection="1">
      <alignment horizontal="left" vertical="center"/>
      <protection hidden="1"/>
    </xf>
    <xf numFmtId="0" fontId="82" fillId="0" borderId="3" xfId="7" applyFont="1" applyBorder="1" applyAlignment="1" applyProtection="1">
      <alignment horizontal="left" vertical="center"/>
      <protection hidden="1"/>
    </xf>
    <xf numFmtId="0" fontId="82" fillId="0" borderId="1" xfId="7" applyFont="1" applyBorder="1" applyAlignment="1">
      <alignment horizontal="left" vertical="center" wrapText="1"/>
    </xf>
    <xf numFmtId="0" fontId="82" fillId="0" borderId="3" xfId="7" applyFont="1" applyBorder="1" applyAlignment="1">
      <alignment horizontal="left" vertical="center" wrapText="1"/>
    </xf>
    <xf numFmtId="49" fontId="82" fillId="0" borderId="1" xfId="7" applyNumberFormat="1" applyFont="1" applyBorder="1" applyAlignment="1" applyProtection="1">
      <alignment horizontal="left" vertical="center" wrapText="1"/>
      <protection hidden="1"/>
    </xf>
    <xf numFmtId="49" fontId="82" fillId="0" borderId="1" xfId="7" applyNumberFormat="1" applyFont="1" applyBorder="1" applyAlignment="1">
      <alignment horizontal="left" vertical="center" wrapText="1"/>
    </xf>
    <xf numFmtId="49" fontId="82" fillId="0" borderId="3" xfId="7" applyNumberFormat="1" applyFont="1" applyBorder="1" applyAlignment="1">
      <alignment horizontal="left" vertical="center" wrapText="1"/>
    </xf>
    <xf numFmtId="0" fontId="91" fillId="0" borderId="2" xfId="7" applyFont="1" applyBorder="1" applyAlignment="1" applyProtection="1">
      <alignment horizontal="left" vertical="center" wrapText="1"/>
      <protection hidden="1"/>
    </xf>
    <xf numFmtId="0" fontId="24" fillId="0" borderId="1" xfId="7" applyBorder="1" applyAlignment="1">
      <alignment horizontal="left" vertical="center" wrapText="1"/>
    </xf>
    <xf numFmtId="0" fontId="24" fillId="0" borderId="3" xfId="7" applyBorder="1" applyAlignment="1">
      <alignment horizontal="left" vertical="center" wrapText="1"/>
    </xf>
  </cellXfs>
  <cellStyles count="69">
    <cellStyle name="%" xfId="17" xr:uid="{00000000-0005-0000-0000-000000000000}"/>
    <cellStyle name="% 2" xfId="18" xr:uid="{00000000-0005-0000-0000-000001000000}"/>
    <cellStyle name="% 2 2" xfId="19" xr:uid="{00000000-0005-0000-0000-000002000000}"/>
    <cellStyle name="]_x000d__x000a_Zoomed=1_x000d__x000a_Row=0_x000d__x000a_Column=0_x000d__x000a_Height=0_x000d__x000a_Width=0_x000d__x000a_FontName=FoxFont_x000d__x000a_FontStyle=0_x000d__x000a_FontSize=9_x000d__x000a_PrtFontName=FoxPrin" xfId="20" xr:uid="{00000000-0005-0000-0000-000003000000}"/>
    <cellStyle name="0,0_x000d__x000d_NA_x000d__x000d_" xfId="21" xr:uid="{00000000-0005-0000-0000-000004000000}"/>
    <cellStyle name="0,0_x000d__x000d_NA_x000d__x000d_ 2" xfId="22" xr:uid="{00000000-0005-0000-0000-000005000000}"/>
    <cellStyle name="Comma 2" xfId="4" xr:uid="{00000000-0005-0000-0000-000006000000}"/>
    <cellStyle name="Comma 3" xfId="9" xr:uid="{00000000-0005-0000-0000-000007000000}"/>
    <cellStyle name="Comma 3 2" xfId="65" xr:uid="{00000000-0005-0000-0000-000008000000}"/>
    <cellStyle name="Comma 4" xfId="8" xr:uid="{00000000-0005-0000-0000-000009000000}"/>
    <cellStyle name="Comma 5" xfId="68" xr:uid="{00000000-0005-0000-0000-00000A000000}"/>
    <cellStyle name="Currency" xfId="66" builtinId="4"/>
    <cellStyle name="Currency 2" xfId="23" xr:uid="{00000000-0005-0000-0000-00000C000000}"/>
    <cellStyle name="Estimated" xfId="24" xr:uid="{00000000-0005-0000-0000-00000D000000}"/>
    <cellStyle name="external input" xfId="25" xr:uid="{00000000-0005-0000-0000-00000E000000}"/>
    <cellStyle name="Grant" xfId="26" xr:uid="{00000000-0005-0000-0000-00000F000000}"/>
    <cellStyle name="Header" xfId="27" xr:uid="{00000000-0005-0000-0000-000010000000}"/>
    <cellStyle name="HeaderGrant" xfId="28" xr:uid="{00000000-0005-0000-0000-000011000000}"/>
    <cellStyle name="HeaderGrant 2" xfId="29" xr:uid="{00000000-0005-0000-0000-000012000000}"/>
    <cellStyle name="HeaderLEA" xfId="30" xr:uid="{00000000-0005-0000-0000-000013000000}"/>
    <cellStyle name="Hyperlink" xfId="1" builtinId="8"/>
    <cellStyle name="Imported" xfId="31" xr:uid="{00000000-0005-0000-0000-000015000000}"/>
    <cellStyle name="LEAName" xfId="32" xr:uid="{00000000-0005-0000-0000-000016000000}"/>
    <cellStyle name="LEAName 2" xfId="33" xr:uid="{00000000-0005-0000-0000-000017000000}"/>
    <cellStyle name="LEANumber" xfId="34" xr:uid="{00000000-0005-0000-0000-000018000000}"/>
    <cellStyle name="LEANumber 2" xfId="35" xr:uid="{00000000-0005-0000-0000-000019000000}"/>
    <cellStyle name="log projection" xfId="36" xr:uid="{00000000-0005-0000-0000-00001A000000}"/>
    <cellStyle name="Normal" xfId="0" builtinId="0"/>
    <cellStyle name="Normal 10" xfId="60" xr:uid="{00000000-0005-0000-0000-00001C000000}"/>
    <cellStyle name="Normal 11" xfId="62" xr:uid="{00000000-0005-0000-0000-00001D000000}"/>
    <cellStyle name="Normal 12" xfId="67" xr:uid="{00000000-0005-0000-0000-00001E000000}"/>
    <cellStyle name="Normal 2" xfId="2" xr:uid="{00000000-0005-0000-0000-00001F000000}"/>
    <cellStyle name="Normal 2 2" xfId="7" xr:uid="{00000000-0005-0000-0000-000020000000}"/>
    <cellStyle name="Normal 2 2 2" xfId="37" xr:uid="{00000000-0005-0000-0000-000021000000}"/>
    <cellStyle name="Normal 2 2 3" xfId="38" xr:uid="{00000000-0005-0000-0000-000022000000}"/>
    <cellStyle name="Normal 2 3" xfId="39" xr:uid="{00000000-0005-0000-0000-000023000000}"/>
    <cellStyle name="Normal 2 4" xfId="64" xr:uid="{00000000-0005-0000-0000-000024000000}"/>
    <cellStyle name="Normal 3" xfId="3" xr:uid="{00000000-0005-0000-0000-000025000000}"/>
    <cellStyle name="Normal 3 2" xfId="40" xr:uid="{00000000-0005-0000-0000-000026000000}"/>
    <cellStyle name="Normal 4" xfId="5" xr:uid="{00000000-0005-0000-0000-000027000000}"/>
    <cellStyle name="Normal 4 2" xfId="41" xr:uid="{00000000-0005-0000-0000-000028000000}"/>
    <cellStyle name="Normal 5" xfId="6" xr:uid="{00000000-0005-0000-0000-000029000000}"/>
    <cellStyle name="Normal 5 2" xfId="10" xr:uid="{00000000-0005-0000-0000-00002A000000}"/>
    <cellStyle name="Normal 6" xfId="11" xr:uid="{00000000-0005-0000-0000-00002B000000}"/>
    <cellStyle name="Normal 7" xfId="12" xr:uid="{00000000-0005-0000-0000-00002C000000}"/>
    <cellStyle name="Normal 8" xfId="13" xr:uid="{00000000-0005-0000-0000-00002D000000}"/>
    <cellStyle name="Normal 9" xfId="15" xr:uid="{00000000-0005-0000-0000-00002E000000}"/>
    <cellStyle name="Normal_0242 1998-99 ESTIMATE" xfId="14" xr:uid="{00000000-0005-0000-0000-00002F000000}"/>
    <cellStyle name="Normal_Special Schools - Band Descriptors" xfId="16" xr:uid="{00000000-0005-0000-0000-000030000000}"/>
    <cellStyle name="Number" xfId="42" xr:uid="{00000000-0005-0000-0000-000031000000}"/>
    <cellStyle name="Number 2" xfId="43" xr:uid="{00000000-0005-0000-0000-000032000000}"/>
    <cellStyle name="Percent" xfId="61" builtinId="5"/>
    <cellStyle name="Percent 2" xfId="63" xr:uid="{00000000-0005-0000-0000-000034000000}"/>
    <cellStyle name="provisional PN158/97" xfId="44" xr:uid="{00000000-0005-0000-0000-000035000000}"/>
    <cellStyle name="SAPBEXaggData" xfId="45" xr:uid="{00000000-0005-0000-0000-000036000000}"/>
    <cellStyle name="SAPBEXchaText" xfId="46" xr:uid="{00000000-0005-0000-0000-000037000000}"/>
    <cellStyle name="SAPBEXHLevel0" xfId="47" xr:uid="{00000000-0005-0000-0000-000038000000}"/>
    <cellStyle name="SAPBEXHLevel2" xfId="48" xr:uid="{00000000-0005-0000-0000-000039000000}"/>
    <cellStyle name="SAPBEXHLevel3" xfId="49" xr:uid="{00000000-0005-0000-0000-00003A000000}"/>
    <cellStyle name="SAPBEXstdItem" xfId="50" xr:uid="{00000000-0005-0000-0000-00003B000000}"/>
    <cellStyle name="SAPBEXstdItemX" xfId="51" xr:uid="{00000000-0005-0000-0000-00003C000000}"/>
    <cellStyle name="SAPBEXtitle" xfId="52" xr:uid="{00000000-0005-0000-0000-00003D000000}"/>
    <cellStyle name="Style 1" xfId="53" xr:uid="{00000000-0005-0000-0000-00003E000000}"/>
    <cellStyle name="sub" xfId="54" xr:uid="{00000000-0005-0000-0000-00003F000000}"/>
    <cellStyle name="table imported" xfId="55" xr:uid="{00000000-0005-0000-0000-000040000000}"/>
    <cellStyle name="table sum" xfId="56" xr:uid="{00000000-0005-0000-0000-000041000000}"/>
    <cellStyle name="table values" xfId="57" xr:uid="{00000000-0005-0000-0000-000042000000}"/>
    <cellStyle name="u5shares" xfId="58" xr:uid="{00000000-0005-0000-0000-000043000000}"/>
    <cellStyle name="Variable assumptions" xfId="59" xr:uid="{00000000-0005-0000-0000-000044000000}"/>
  </cellStyles>
  <dxfs count="19">
    <dxf>
      <fill>
        <patternFill>
          <bgColor theme="6" tint="0.39994506668294322"/>
        </patternFill>
      </fill>
    </dxf>
    <dxf>
      <font>
        <color rgb="FF006100"/>
      </font>
      <fill>
        <patternFill>
          <bgColor rgb="FFC6EFCE"/>
        </patternFill>
      </fill>
    </dxf>
    <dxf>
      <fill>
        <patternFill>
          <bgColor theme="6" tint="0.39994506668294322"/>
        </patternFill>
      </fill>
    </dxf>
    <dxf>
      <fill>
        <patternFill>
          <bgColor theme="6" tint="0.59996337778862885"/>
        </patternFill>
      </fill>
    </dxf>
    <dxf>
      <fill>
        <patternFill>
          <bgColor theme="7" tint="0.59996337778862885"/>
        </patternFill>
      </fill>
    </dxf>
    <dxf>
      <font>
        <color rgb="FF9C0006"/>
        <family val="2"/>
      </font>
      <fill>
        <patternFill patternType="solid">
          <fgColor rgb="FFFFC7CE"/>
          <bgColor rgb="FFFFC7CE"/>
        </patternFill>
      </fill>
    </dxf>
    <dxf>
      <fill>
        <patternFill>
          <bgColor theme="6" tint="0.39994506668294322"/>
        </patternFill>
      </fill>
    </dxf>
    <dxf>
      <fill>
        <patternFill>
          <bgColor theme="6" tint="0.59996337778862885"/>
        </patternFill>
      </fill>
    </dxf>
    <dxf>
      <fill>
        <patternFill>
          <bgColor theme="7" tint="0.59996337778862885"/>
        </patternFill>
      </fill>
    </dxf>
    <dxf>
      <fill>
        <patternFill>
          <bgColor rgb="FFFFC000"/>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dxf>
    <dxf>
      <font>
        <color theme="0" tint="-0.34998626667073579"/>
      </font>
    </dxf>
    <dxf>
      <font>
        <color theme="0" tint="-0.34998626667073579"/>
      </font>
    </dxf>
  </dxfs>
  <tableStyles count="0" defaultTableStyle="TableStyleMedium2" defaultPivotStyle="PivotStyleMedium9"/>
  <colors>
    <mruColors>
      <color rgb="FFF3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externalLink" Target="externalLinks/externalLink1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cid:0ADE53D5-3233-4D17-BCDB-CCC0BA7C1744" TargetMode="External"/><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43</xdr:row>
      <xdr:rowOff>85725</xdr:rowOff>
    </xdr:from>
    <xdr:to>
      <xdr:col>11</xdr:col>
      <xdr:colOff>391530</xdr:colOff>
      <xdr:row>61</xdr:row>
      <xdr:rowOff>38548</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425" y="7943850"/>
          <a:ext cx="7201905" cy="3210373"/>
        </a:xfrm>
        <a:prstGeom prst="rect">
          <a:avLst/>
        </a:prstGeom>
      </xdr:spPr>
    </xdr:pic>
    <xdr:clientData/>
  </xdr:twoCellAnchor>
  <xdr:twoCellAnchor editAs="oneCell">
    <xdr:from>
      <xdr:col>1</xdr:col>
      <xdr:colOff>38100</xdr:colOff>
      <xdr:row>172</xdr:row>
      <xdr:rowOff>0</xdr:rowOff>
    </xdr:from>
    <xdr:to>
      <xdr:col>12</xdr:col>
      <xdr:colOff>1048</xdr:colOff>
      <xdr:row>193</xdr:row>
      <xdr:rowOff>143425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3900" y="9515475"/>
          <a:ext cx="7506748" cy="3943900"/>
        </a:xfrm>
        <a:prstGeom prst="rect">
          <a:avLst/>
        </a:prstGeom>
      </xdr:spPr>
    </xdr:pic>
    <xdr:clientData/>
  </xdr:twoCellAnchor>
  <xdr:twoCellAnchor editAs="oneCell">
    <xdr:from>
      <xdr:col>1</xdr:col>
      <xdr:colOff>66675</xdr:colOff>
      <xdr:row>71</xdr:row>
      <xdr:rowOff>47625</xdr:rowOff>
    </xdr:from>
    <xdr:to>
      <xdr:col>4</xdr:col>
      <xdr:colOff>524226</xdr:colOff>
      <xdr:row>77</xdr:row>
      <xdr:rowOff>76356</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2475" y="14106525"/>
          <a:ext cx="2514951" cy="1114581"/>
        </a:xfrm>
        <a:prstGeom prst="rect">
          <a:avLst/>
        </a:prstGeom>
      </xdr:spPr>
    </xdr:pic>
    <xdr:clientData/>
  </xdr:twoCellAnchor>
  <xdr:twoCellAnchor editAs="oneCell">
    <xdr:from>
      <xdr:col>1</xdr:col>
      <xdr:colOff>57150</xdr:colOff>
      <xdr:row>99</xdr:row>
      <xdr:rowOff>66675</xdr:rowOff>
    </xdr:from>
    <xdr:to>
      <xdr:col>12</xdr:col>
      <xdr:colOff>258256</xdr:colOff>
      <xdr:row>116</xdr:row>
      <xdr:rowOff>95683</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2950" y="20574000"/>
          <a:ext cx="7744906" cy="3105583"/>
        </a:xfrm>
        <a:prstGeom prst="rect">
          <a:avLst/>
        </a:prstGeom>
      </xdr:spPr>
    </xdr:pic>
    <xdr:clientData/>
  </xdr:twoCellAnchor>
  <xdr:twoCellAnchor editAs="oneCell">
    <xdr:from>
      <xdr:col>1</xdr:col>
      <xdr:colOff>9525</xdr:colOff>
      <xdr:row>14</xdr:row>
      <xdr:rowOff>57150</xdr:rowOff>
    </xdr:from>
    <xdr:to>
      <xdr:col>10</xdr:col>
      <xdr:colOff>105650</xdr:colOff>
      <xdr:row>36</xdr:row>
      <xdr:rowOff>67232</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95325" y="2819400"/>
          <a:ext cx="6268325" cy="3991532"/>
        </a:xfrm>
        <a:prstGeom prst="rect">
          <a:avLst/>
        </a:prstGeom>
      </xdr:spPr>
    </xdr:pic>
    <xdr:clientData/>
  </xdr:twoCellAnchor>
  <xdr:twoCellAnchor editAs="oneCell">
    <xdr:from>
      <xdr:col>1</xdr:col>
      <xdr:colOff>28575</xdr:colOff>
      <xdr:row>64</xdr:row>
      <xdr:rowOff>9525</xdr:rowOff>
    </xdr:from>
    <xdr:to>
      <xdr:col>3</xdr:col>
      <xdr:colOff>419346</xdr:colOff>
      <xdr:row>68</xdr:row>
      <xdr:rowOff>152521</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4375" y="11487150"/>
          <a:ext cx="1762371" cy="866896"/>
        </a:xfrm>
        <a:prstGeom prst="rect">
          <a:avLst/>
        </a:prstGeom>
      </xdr:spPr>
    </xdr:pic>
    <xdr:clientData/>
  </xdr:twoCellAnchor>
  <xdr:twoCellAnchor editAs="oneCell">
    <xdr:from>
      <xdr:col>1</xdr:col>
      <xdr:colOff>19050</xdr:colOff>
      <xdr:row>119</xdr:row>
      <xdr:rowOff>28575</xdr:rowOff>
    </xdr:from>
    <xdr:to>
      <xdr:col>7</xdr:col>
      <xdr:colOff>610257</xdr:colOff>
      <xdr:row>134</xdr:row>
      <xdr:rowOff>28954</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04850" y="21593175"/>
          <a:ext cx="4706007" cy="2715004"/>
        </a:xfrm>
        <a:prstGeom prst="rect">
          <a:avLst/>
        </a:prstGeom>
      </xdr:spPr>
    </xdr:pic>
    <xdr:clientData/>
  </xdr:twoCellAnchor>
  <xdr:twoCellAnchor editAs="oneCell">
    <xdr:from>
      <xdr:col>1</xdr:col>
      <xdr:colOff>19050</xdr:colOff>
      <xdr:row>137</xdr:row>
      <xdr:rowOff>19050</xdr:rowOff>
    </xdr:from>
    <xdr:to>
      <xdr:col>12</xdr:col>
      <xdr:colOff>115366</xdr:colOff>
      <xdr:row>150</xdr:row>
      <xdr:rowOff>326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4850" y="24860250"/>
          <a:ext cx="7640116" cy="2333951"/>
        </a:xfrm>
        <a:prstGeom prst="rect">
          <a:avLst/>
        </a:prstGeom>
      </xdr:spPr>
    </xdr:pic>
    <xdr:clientData/>
  </xdr:twoCellAnchor>
  <xdr:twoCellAnchor editAs="oneCell">
    <xdr:from>
      <xdr:col>1</xdr:col>
      <xdr:colOff>19050</xdr:colOff>
      <xdr:row>152</xdr:row>
      <xdr:rowOff>19050</xdr:rowOff>
    </xdr:from>
    <xdr:to>
      <xdr:col>11</xdr:col>
      <xdr:colOff>563008</xdr:colOff>
      <xdr:row>168</xdr:row>
      <xdr:rowOff>76612</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04850" y="27574875"/>
          <a:ext cx="7401958" cy="2953162"/>
        </a:xfrm>
        <a:prstGeom prst="rect">
          <a:avLst/>
        </a:prstGeom>
      </xdr:spPr>
    </xdr:pic>
    <xdr:clientData/>
  </xdr:twoCellAnchor>
  <xdr:twoCellAnchor editAs="oneCell">
    <xdr:from>
      <xdr:col>1</xdr:col>
      <xdr:colOff>19050</xdr:colOff>
      <xdr:row>4</xdr:row>
      <xdr:rowOff>9525</xdr:rowOff>
    </xdr:from>
    <xdr:to>
      <xdr:col>9</xdr:col>
      <xdr:colOff>181763</xdr:colOff>
      <xdr:row>5</xdr:row>
      <xdr:rowOff>57182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4850" y="752475"/>
          <a:ext cx="5649113" cy="22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361950</xdr:colOff>
      <xdr:row>0</xdr:row>
      <xdr:rowOff>47626</xdr:rowOff>
    </xdr:from>
    <xdr:to>
      <xdr:col>9</xdr:col>
      <xdr:colOff>66675</xdr:colOff>
      <xdr:row>2</xdr:row>
      <xdr:rowOff>141052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48150" y="47626"/>
          <a:ext cx="1400175" cy="4553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10</xdr:col>
      <xdr:colOff>285750</xdr:colOff>
      <xdr:row>72</xdr:row>
      <xdr:rowOff>38100</xdr:rowOff>
    </xdr:to>
    <xdr:pic>
      <xdr:nvPicPr>
        <xdr:cNvPr id="2" name="0ADE53D5-3233-4D17-BCDB-CCC0BA7C1744" descr="image1.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61950"/>
          <a:ext cx="7143750" cy="1270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95250</xdr:colOff>
      <xdr:row>2</xdr:row>
      <xdr:rowOff>0</xdr:rowOff>
    </xdr:from>
    <xdr:to>
      <xdr:col>21</xdr:col>
      <xdr:colOff>381000</xdr:colOff>
      <xdr:row>72</xdr:row>
      <xdr:rowOff>38100</xdr:rowOff>
    </xdr:to>
    <xdr:pic>
      <xdr:nvPicPr>
        <xdr:cNvPr id="3" name="18993870-9D33-4986-AD1A-06422A8034F5" descr="image3.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39050" y="361950"/>
          <a:ext cx="7143750" cy="1270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1703295</xdr:colOff>
      <xdr:row>9</xdr:row>
      <xdr:rowOff>1</xdr:rowOff>
    </xdr:from>
    <xdr:to>
      <xdr:col>4</xdr:col>
      <xdr:colOff>1</xdr:colOff>
      <xdr:row>14</xdr:row>
      <xdr:rowOff>145677</xdr:rowOff>
    </xdr:to>
    <xdr:sp macro="" textlink="">
      <xdr:nvSpPr>
        <xdr:cNvPr id="2" name="Right Brace 1">
          <a:extLst>
            <a:ext uri="{FF2B5EF4-FFF2-40B4-BE49-F238E27FC236}">
              <a16:creationId xmlns:a16="http://schemas.microsoft.com/office/drawing/2014/main" id="{00000000-0008-0000-1600-000002000000}"/>
            </a:ext>
          </a:extLst>
        </xdr:cNvPr>
        <xdr:cNvSpPr/>
      </xdr:nvSpPr>
      <xdr:spPr>
        <a:xfrm>
          <a:off x="8304120" y="1790701"/>
          <a:ext cx="468406" cy="11458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11</xdr:row>
      <xdr:rowOff>0</xdr:rowOff>
    </xdr:from>
    <xdr:to>
      <xdr:col>1</xdr:col>
      <xdr:colOff>1176618</xdr:colOff>
      <xdr:row>14</xdr:row>
      <xdr:rowOff>0</xdr:rowOff>
    </xdr:to>
    <xdr:sp macro="" textlink="">
      <xdr:nvSpPr>
        <xdr:cNvPr id="3" name="Right Brace 2">
          <a:extLst>
            <a:ext uri="{FF2B5EF4-FFF2-40B4-BE49-F238E27FC236}">
              <a16:creationId xmlns:a16="http://schemas.microsoft.com/office/drawing/2014/main" id="{00000000-0008-0000-1600-000003000000}"/>
            </a:ext>
          </a:extLst>
        </xdr:cNvPr>
        <xdr:cNvSpPr/>
      </xdr:nvSpPr>
      <xdr:spPr>
        <a:xfrm>
          <a:off x="5090273" y="2190750"/>
          <a:ext cx="324970" cy="6000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lincolnshirecc.sharepoint.com/sites/FinancialServices/Childrens/Children's%20Education/Head%20of%20Service%20for%20Inclusion%20(Kate%20Capel)/Springwell/Alternative%20Provision%202023-24.xlsx" TargetMode="External"/><Relationship Id="rId1" Type="http://schemas.openxmlformats.org/officeDocument/2006/relationships/externalLinkPath" Target="Alternative%20Provision%202023-24.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lincolnshirecc.sharepoint.com/sites/FinancialServices/All%20Teams%20%20Shared%20Work/Salary%20Scales/Schools%20Salary%20Scales/Salary%20Scales%202023-24/Teaching%20Assistants%20Under%205%20Years%20Salary%20Scales%202023-24%20Updated.xlsx" TargetMode="External"/><Relationship Id="rId1" Type="http://schemas.openxmlformats.org/officeDocument/2006/relationships/externalLinkPath" Target="/sites/FinancialServices/All%20Teams%20%20Shared%20Work/Salary%20Scales/Schools%20Salary%20Scales/Salary%20Scales%202023-24/Teaching%20Assistants%20Under%205%20Years%20Salary%20Scales%202023-24%20Upda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
      <sheetName val="Header"/>
      <sheetName val="Executive Summary"/>
      <sheetName val="Sheet1"/>
      <sheetName val="Workings"/>
      <sheetName val="Supporting Data"/>
      <sheetName val="Evidence"/>
      <sheetName val="AP Formula 202324"/>
      <sheetName val="2324 Band Values"/>
      <sheetName val="Benchmarking"/>
      <sheetName val="Trust Financials"/>
      <sheetName val="AP Formula 202122"/>
      <sheetName val="Rates"/>
      <sheetName val="MoU"/>
      <sheetName val="WS - Delivery Model"/>
      <sheetName val="WS - Structure"/>
      <sheetName val="WS - Budget Forecast"/>
      <sheetName val="2122 Band Values"/>
      <sheetName val="2122 Teachers Pay Scales"/>
      <sheetName val="GLEA SCALE"/>
      <sheetName val="TEACHING ASSISTANT 2021-22"/>
      <sheetName val="TEACHING ASSNT 2021-22"/>
      <sheetName val="2122 TA Pay Scales"/>
      <sheetName val="Leadership Pay"/>
      <sheetName val="Special Funding Summary"/>
    </sheetNames>
    <sheetDataSet>
      <sheetData sheetId="0"/>
      <sheetData sheetId="1"/>
      <sheetData sheetId="2"/>
      <sheetData sheetId="3"/>
      <sheetData sheetId="4"/>
      <sheetData sheetId="5"/>
      <sheetData sheetId="6"/>
      <sheetData sheetId="7"/>
      <sheetData sheetId="8">
        <row r="26">
          <cell r="BK26">
            <v>12430.848086373695</v>
          </cell>
        </row>
      </sheetData>
      <sheetData sheetId="9"/>
      <sheetData sheetId="10"/>
      <sheetData sheetId="11">
        <row r="25">
          <cell r="B25">
            <v>1303685.0556450253</v>
          </cell>
        </row>
        <row r="51">
          <cell r="B51">
            <v>53770.743063124981</v>
          </cell>
        </row>
      </sheetData>
      <sheetData sheetId="12"/>
      <sheetData sheetId="13"/>
      <sheetData sheetId="14">
        <row r="61">
          <cell r="N61">
            <v>16686</v>
          </cell>
        </row>
        <row r="65">
          <cell r="S65">
            <v>40730</v>
          </cell>
        </row>
        <row r="67">
          <cell r="S67">
            <v>24410</v>
          </cell>
        </row>
        <row r="77">
          <cell r="S77">
            <v>40730</v>
          </cell>
        </row>
        <row r="78">
          <cell r="S78">
            <v>40730</v>
          </cell>
        </row>
        <row r="79">
          <cell r="S79">
            <v>29860</v>
          </cell>
        </row>
        <row r="80">
          <cell r="S80">
            <v>23900</v>
          </cell>
        </row>
      </sheetData>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ACHING ASSISTANT 2023-24"/>
      <sheetName val="Sheet2"/>
    </sheetNames>
    <sheetDataSet>
      <sheetData sheetId="0"/>
      <sheetData sheetId="1">
        <row r="22">
          <cell r="E22">
            <v>22737</v>
          </cell>
        </row>
        <row r="23">
          <cell r="E23">
            <v>23107</v>
          </cell>
        </row>
        <row r="24">
          <cell r="E24">
            <v>23521</v>
          </cell>
        </row>
        <row r="25">
          <cell r="E25">
            <v>23893</v>
          </cell>
        </row>
        <row r="28">
          <cell r="E28">
            <v>25119</v>
          </cell>
        </row>
        <row r="29">
          <cell r="E29">
            <v>25961</v>
          </cell>
        </row>
        <row r="30">
          <cell r="E30">
            <v>26884</v>
          </cell>
        </row>
        <row r="31">
          <cell r="E31">
            <v>27803</v>
          </cell>
        </row>
        <row r="32">
          <cell r="E32">
            <v>28609</v>
          </cell>
        </row>
        <row r="33">
          <cell r="E33">
            <v>29413</v>
          </cell>
        </row>
        <row r="34">
          <cell r="E34">
            <v>30296</v>
          </cell>
        </row>
        <row r="35">
          <cell r="E35">
            <v>31104</v>
          </cell>
        </row>
        <row r="36">
          <cell r="E36">
            <v>32064</v>
          </cell>
        </row>
        <row r="37">
          <cell r="E37">
            <v>33024</v>
          </cell>
        </row>
        <row r="38">
          <cell r="E38">
            <v>34294</v>
          </cell>
        </row>
        <row r="39">
          <cell r="E39">
            <v>35446</v>
          </cell>
        </row>
        <row r="40">
          <cell r="E40">
            <v>36648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dule">
  <a:themeElements>
    <a:clrScheme name="Module">
      <a:dk1>
        <a:sysClr val="windowText" lastClr="000000"/>
      </a:dk1>
      <a:lt1>
        <a:sysClr val="window" lastClr="FFFFFF"/>
      </a:lt1>
      <a:dk2>
        <a:srgbClr val="5A6378"/>
      </a:dk2>
      <a:lt2>
        <a:srgbClr val="D4D4D6"/>
      </a:lt2>
      <a:accent1>
        <a:srgbClr val="F0AD00"/>
      </a:accent1>
      <a:accent2>
        <a:srgbClr val="60B5CC"/>
      </a:accent2>
      <a:accent3>
        <a:srgbClr val="E66C7D"/>
      </a:accent3>
      <a:accent4>
        <a:srgbClr val="6BB76D"/>
      </a:accent4>
      <a:accent5>
        <a:srgbClr val="E88651"/>
      </a:accent5>
      <a:accent6>
        <a:srgbClr val="C64847"/>
      </a:accent6>
      <a:hlink>
        <a:srgbClr val="168BBA"/>
      </a:hlink>
      <a:folHlink>
        <a:srgbClr val="68000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odul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7500"/>
                <a:satMod val="137000"/>
              </a:schemeClr>
            </a:gs>
            <a:gs pos="55000">
              <a:schemeClr val="phClr">
                <a:shade val="69000"/>
                <a:satMod val="137000"/>
              </a:schemeClr>
            </a:gs>
            <a:gs pos="100000">
              <a:schemeClr val="phClr">
                <a:shade val="98000"/>
                <a:satMod val="137000"/>
              </a:schemeClr>
            </a:gs>
          </a:gsLst>
          <a:lin ang="16200000" scaled="0"/>
        </a:gradFill>
      </a:fillStyleLst>
      <a:lnStyleLst>
        <a:ln w="6350" cap="rnd" cmpd="sng" algn="ctr">
          <a:solidFill>
            <a:schemeClr val="phClr">
              <a:shade val="95000"/>
              <a:satMod val="105000"/>
            </a:schemeClr>
          </a:solidFill>
          <a:prstDash val="solid"/>
        </a:ln>
        <a:ln w="48000" cap="flat" cmpd="thickThin" algn="ctr">
          <a:solidFill>
            <a:schemeClr val="phClr"/>
          </a:solidFill>
          <a:prstDash val="solid"/>
        </a:ln>
        <a:ln w="48500" cap="flat" cmpd="thickThin" algn="ctr">
          <a:solidFill>
            <a:schemeClr val="phClr"/>
          </a:solidFill>
          <a:prstDash val="solid"/>
        </a:ln>
      </a:lnStyleLst>
      <a:effectStyleLst>
        <a:effectStyle>
          <a:effectLst>
            <a:outerShdw blurRad="45000" dist="25000" dir="5400000" rotWithShape="0">
              <a:srgbClr val="000000">
                <a:alpha val="38000"/>
              </a:srgbClr>
            </a:outerShdw>
          </a:effectLst>
        </a:effectStyle>
        <a:effectStyle>
          <a:effectLst>
            <a:outerShdw blurRad="39000" dist="25400" dir="5400000" rotWithShape="0">
              <a:srgbClr val="000000">
                <a:alpha val="38000"/>
              </a:srgbClr>
            </a:outerShdw>
          </a:effectLst>
        </a:effectStyle>
        <a:effectStyle>
          <a:effectLst>
            <a:outerShdw blurRad="39000" dist="25400" dir="5400000" rotWithShape="0">
              <a:srgbClr val="000000">
                <a:alpha val="38000"/>
              </a:srgbClr>
            </a:outerShdw>
          </a:effectLst>
          <a:scene3d>
            <a:camera prst="orthographicFront" fov="0">
              <a:rot lat="0" lon="0" rev="0"/>
            </a:camera>
            <a:lightRig rig="threePt" dir="t">
              <a:rot lat="0" lon="0" rev="1800000"/>
            </a:lightRig>
          </a:scene3d>
          <a:sp3d prstMaterial="matte">
            <a:bevelT h="20000"/>
          </a:sp3d>
        </a:effectStyle>
      </a:effectStyleLst>
      <a:bgFillStyleLst>
        <a:solidFill>
          <a:schemeClr val="phClr"/>
        </a:solidFill>
        <a:gradFill rotWithShape="1">
          <a:gsLst>
            <a:gs pos="0">
              <a:schemeClr val="phClr">
                <a:tint val="48000"/>
                <a:satMod val="300000"/>
              </a:schemeClr>
            </a:gs>
            <a:gs pos="12000">
              <a:schemeClr val="phClr">
                <a:tint val="48000"/>
                <a:satMod val="300000"/>
              </a:schemeClr>
            </a:gs>
            <a:gs pos="20000">
              <a:schemeClr val="phClr">
                <a:tint val="49000"/>
                <a:satMod val="300000"/>
              </a:schemeClr>
            </a:gs>
            <a:gs pos="100000">
              <a:schemeClr val="phClr">
                <a:shade val="30000"/>
              </a:schemeClr>
            </a:gs>
          </a:gsLst>
          <a:path path="circle">
            <a:fillToRect l="10000" t="-25000" r="10000" b="125000"/>
          </a:path>
        </a:gradFill>
        <a:blipFill>
          <a:blip xmlns:r="http://schemas.openxmlformats.org/officeDocument/2006/relationships" r:embed="rId1">
            <a:duotone>
              <a:schemeClr val="phClr">
                <a:shade val="75000"/>
                <a:satMod val="105000"/>
              </a:schemeClr>
              <a:schemeClr val="phClr">
                <a:tint val="95000"/>
                <a:satMod val="105000"/>
              </a:schemeClr>
            </a:duotone>
          </a:blip>
          <a:tile tx="0" ty="0" sx="38000" sy="38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94"/>
  <sheetViews>
    <sheetView showGridLines="0" showRowColHeaders="0" workbookViewId="0">
      <selection activeCell="P31" sqref="P31"/>
    </sheetView>
  </sheetViews>
  <sheetFormatPr defaultColWidth="9" defaultRowHeight="14"/>
  <cols>
    <col min="1" max="12" width="9" style="1"/>
    <col min="13" max="13" width="26.75" style="1" customWidth="1"/>
    <col min="14" max="16384" width="9" style="1"/>
  </cols>
  <sheetData>
    <row r="2" spans="2:16">
      <c r="B2" s="1101" t="s">
        <v>0</v>
      </c>
      <c r="C2" s="1101"/>
      <c r="D2" s="1101"/>
      <c r="E2" s="1101"/>
      <c r="F2" s="1101"/>
      <c r="G2" s="1101"/>
      <c r="H2" s="1101"/>
      <c r="I2" s="1101"/>
      <c r="J2" s="1101"/>
      <c r="K2" s="1101"/>
      <c r="L2" s="1101"/>
      <c r="M2" s="1101"/>
    </row>
    <row r="3" spans="2:16" ht="14.5" thickBot="1"/>
    <row r="4" spans="2:16">
      <c r="B4" s="48" t="s">
        <v>1</v>
      </c>
      <c r="C4" s="38"/>
      <c r="D4" s="38"/>
      <c r="E4" s="38"/>
      <c r="F4" s="38"/>
      <c r="G4" s="38"/>
      <c r="H4" s="38"/>
      <c r="I4" s="38"/>
      <c r="J4" s="38"/>
      <c r="K4" s="38"/>
      <c r="L4" s="38"/>
      <c r="M4" s="39"/>
    </row>
    <row r="5" spans="2:16">
      <c r="B5" s="49"/>
      <c r="M5" s="41"/>
    </row>
    <row r="6" spans="2:16">
      <c r="B6" s="49"/>
      <c r="M6" s="41"/>
    </row>
    <row r="7" spans="2:16" ht="14.5" thickBot="1">
      <c r="B7" s="42" t="s">
        <v>2</v>
      </c>
      <c r="C7" s="43"/>
      <c r="D7" s="43"/>
      <c r="E7" s="43"/>
      <c r="F7" s="43"/>
      <c r="G7" s="43"/>
      <c r="H7" s="43"/>
      <c r="I7" s="43"/>
      <c r="J7" s="43"/>
      <c r="K7" s="43"/>
      <c r="L7" s="43"/>
      <c r="M7" s="44"/>
    </row>
    <row r="8" spans="2:16" ht="14.5" thickBot="1"/>
    <row r="9" spans="2:16" ht="14.5" thickBot="1">
      <c r="B9" s="45" t="s">
        <v>3</v>
      </c>
      <c r="C9" s="46"/>
      <c r="D9" s="46"/>
      <c r="E9" s="46"/>
      <c r="F9" s="46"/>
      <c r="G9" s="46"/>
      <c r="H9" s="46"/>
      <c r="I9" s="46"/>
      <c r="J9" s="46"/>
      <c r="K9" s="46"/>
      <c r="L9" s="46"/>
      <c r="M9" s="47"/>
    </row>
    <row r="10" spans="2:16" ht="14.5" thickBot="1"/>
    <row r="11" spans="2:16">
      <c r="B11" s="37" t="s">
        <v>4</v>
      </c>
      <c r="C11" s="38"/>
      <c r="D11" s="38"/>
      <c r="E11" s="38"/>
      <c r="F11" s="38"/>
      <c r="G11" s="38"/>
      <c r="H11" s="38"/>
      <c r="I11" s="38"/>
      <c r="J11" s="38"/>
      <c r="K11" s="38"/>
      <c r="L11" s="38"/>
      <c r="M11" s="39"/>
      <c r="P11" s="50"/>
    </row>
    <row r="12" spans="2:16">
      <c r="B12" s="40" t="s">
        <v>5</v>
      </c>
      <c r="M12" s="41"/>
      <c r="P12" s="54"/>
    </row>
    <row r="13" spans="2:16">
      <c r="B13" s="40" t="s">
        <v>6</v>
      </c>
      <c r="M13" s="41"/>
      <c r="P13" s="54"/>
    </row>
    <row r="14" spans="2:16">
      <c r="B14" s="40" t="s">
        <v>7</v>
      </c>
      <c r="M14" s="41"/>
      <c r="P14" s="50"/>
    </row>
    <row r="15" spans="2:16">
      <c r="B15" s="40"/>
      <c r="M15" s="41"/>
      <c r="P15" s="50"/>
    </row>
    <row r="16" spans="2:16">
      <c r="B16" s="40"/>
      <c r="M16" s="41"/>
    </row>
    <row r="17" spans="2:16">
      <c r="B17" s="40"/>
      <c r="M17" s="41"/>
    </row>
    <row r="18" spans="2:16">
      <c r="B18" s="40"/>
      <c r="M18" s="41"/>
      <c r="P18" s="50"/>
    </row>
    <row r="19" spans="2:16">
      <c r="B19" s="40"/>
      <c r="M19" s="41"/>
      <c r="P19" s="50"/>
    </row>
    <row r="20" spans="2:16">
      <c r="B20" s="40"/>
      <c r="M20" s="41"/>
      <c r="P20" s="50"/>
    </row>
    <row r="21" spans="2:16">
      <c r="B21" s="40"/>
      <c r="M21" s="41"/>
      <c r="P21" s="50"/>
    </row>
    <row r="22" spans="2:16">
      <c r="B22" s="40"/>
      <c r="M22" s="41"/>
      <c r="P22" s="50"/>
    </row>
    <row r="23" spans="2:16">
      <c r="B23" s="40"/>
      <c r="M23" s="41"/>
      <c r="P23" s="50"/>
    </row>
    <row r="24" spans="2:16">
      <c r="B24" s="40"/>
      <c r="M24" s="41"/>
      <c r="P24" s="50"/>
    </row>
    <row r="25" spans="2:16">
      <c r="B25" s="40"/>
      <c r="M25" s="41"/>
      <c r="P25" s="50"/>
    </row>
    <row r="26" spans="2:16">
      <c r="B26" s="40"/>
      <c r="M26" s="41"/>
      <c r="P26" s="50"/>
    </row>
    <row r="27" spans="2:16">
      <c r="B27" s="40"/>
      <c r="M27" s="41"/>
      <c r="P27" s="50"/>
    </row>
    <row r="28" spans="2:16">
      <c r="B28" s="40"/>
      <c r="M28" s="41"/>
      <c r="P28" s="50"/>
    </row>
    <row r="29" spans="2:16">
      <c r="B29" s="40"/>
      <c r="M29" s="41"/>
      <c r="P29" s="50"/>
    </row>
    <row r="30" spans="2:16">
      <c r="B30" s="40"/>
      <c r="M30" s="41"/>
      <c r="P30" s="50"/>
    </row>
    <row r="31" spans="2:16">
      <c r="B31" s="40"/>
      <c r="M31" s="41"/>
      <c r="P31" s="50"/>
    </row>
    <row r="32" spans="2:16">
      <c r="B32" s="40"/>
      <c r="M32" s="41"/>
      <c r="P32" s="50"/>
    </row>
    <row r="33" spans="2:16">
      <c r="B33" s="40"/>
      <c r="M33" s="41"/>
      <c r="P33" s="50"/>
    </row>
    <row r="34" spans="2:16">
      <c r="B34" s="40"/>
      <c r="M34" s="41"/>
      <c r="P34" s="50"/>
    </row>
    <row r="35" spans="2:16">
      <c r="B35" s="40"/>
      <c r="M35" s="41"/>
      <c r="P35" s="50"/>
    </row>
    <row r="36" spans="2:16">
      <c r="B36" s="40"/>
      <c r="M36" s="41"/>
      <c r="P36" s="50"/>
    </row>
    <row r="37" spans="2:16">
      <c r="B37" s="40"/>
      <c r="M37" s="41"/>
      <c r="P37" s="50"/>
    </row>
    <row r="38" spans="2:16">
      <c r="B38" s="40" t="s">
        <v>8</v>
      </c>
      <c r="M38" s="41"/>
      <c r="P38" s="50"/>
    </row>
    <row r="39" spans="2:16">
      <c r="B39" s="40" t="s">
        <v>9</v>
      </c>
      <c r="M39" s="41"/>
      <c r="P39" s="50"/>
    </row>
    <row r="40" spans="2:16">
      <c r="B40" s="40" t="s">
        <v>10</v>
      </c>
      <c r="M40" s="41"/>
      <c r="P40" s="50"/>
    </row>
    <row r="41" spans="2:16" ht="14.5" thickBot="1">
      <c r="B41" s="42" t="s">
        <v>11</v>
      </c>
      <c r="C41" s="43"/>
      <c r="D41" s="43"/>
      <c r="E41" s="43"/>
      <c r="F41" s="43"/>
      <c r="G41" s="43"/>
      <c r="H41" s="43"/>
      <c r="I41" s="43"/>
      <c r="J41" s="43"/>
      <c r="K41" s="43"/>
      <c r="L41" s="43"/>
      <c r="M41" s="44"/>
      <c r="P41" s="50"/>
    </row>
    <row r="42" spans="2:16" ht="14.5" thickBot="1"/>
    <row r="43" spans="2:16">
      <c r="B43" s="37" t="s">
        <v>12</v>
      </c>
      <c r="C43" s="38"/>
      <c r="D43" s="38"/>
      <c r="E43" s="38"/>
      <c r="F43" s="38"/>
      <c r="G43" s="38"/>
      <c r="H43" s="38"/>
      <c r="I43" s="38"/>
      <c r="J43" s="38"/>
      <c r="K43" s="38"/>
      <c r="L43" s="38"/>
      <c r="M43" s="39"/>
    </row>
    <row r="44" spans="2:16">
      <c r="B44" s="40"/>
      <c r="M44" s="41"/>
    </row>
    <row r="45" spans="2:16">
      <c r="B45" s="40"/>
      <c r="M45" s="41"/>
    </row>
    <row r="46" spans="2:16">
      <c r="B46" s="40"/>
      <c r="M46" s="41"/>
    </row>
    <row r="47" spans="2:16">
      <c r="B47" s="40"/>
      <c r="M47" s="41"/>
    </row>
    <row r="48" spans="2:16">
      <c r="B48" s="40"/>
      <c r="M48" s="41"/>
    </row>
    <row r="49" spans="2:16">
      <c r="B49" s="40"/>
      <c r="M49" s="41"/>
    </row>
    <row r="50" spans="2:16">
      <c r="B50" s="40"/>
      <c r="M50" s="41"/>
    </row>
    <row r="51" spans="2:16">
      <c r="B51" s="40"/>
      <c r="M51" s="41"/>
    </row>
    <row r="52" spans="2:16">
      <c r="B52" s="40"/>
      <c r="M52" s="41"/>
    </row>
    <row r="53" spans="2:16">
      <c r="B53" s="40"/>
      <c r="M53" s="41"/>
      <c r="P53" s="50"/>
    </row>
    <row r="54" spans="2:16">
      <c r="B54" s="40"/>
      <c r="M54" s="41"/>
    </row>
    <row r="55" spans="2:16">
      <c r="B55" s="40"/>
      <c r="M55" s="41"/>
    </row>
    <row r="56" spans="2:16">
      <c r="B56" s="40"/>
      <c r="M56" s="41"/>
    </row>
    <row r="57" spans="2:16">
      <c r="B57" s="40"/>
      <c r="M57" s="41"/>
      <c r="P57" s="50"/>
    </row>
    <row r="58" spans="2:16">
      <c r="B58" s="40"/>
      <c r="M58" s="41"/>
    </row>
    <row r="59" spans="2:16">
      <c r="B59" s="40"/>
      <c r="M59" s="41"/>
    </row>
    <row r="60" spans="2:16">
      <c r="B60" s="40"/>
      <c r="M60" s="41"/>
    </row>
    <row r="61" spans="2:16">
      <c r="B61" s="40"/>
      <c r="M61" s="41"/>
    </row>
    <row r="62" spans="2:16">
      <c r="B62" s="40"/>
      <c r="M62" s="41"/>
    </row>
    <row r="63" spans="2:16">
      <c r="B63" s="40"/>
      <c r="M63" s="41"/>
    </row>
    <row r="64" spans="2:16">
      <c r="B64" s="40" t="s">
        <v>13</v>
      </c>
      <c r="M64" s="41"/>
    </row>
    <row r="65" spans="2:13">
      <c r="B65" s="40"/>
      <c r="M65" s="41"/>
    </row>
    <row r="66" spans="2:13">
      <c r="B66" s="40"/>
      <c r="M66" s="41"/>
    </row>
    <row r="67" spans="2:13">
      <c r="B67" s="40"/>
      <c r="M67" s="41"/>
    </row>
    <row r="68" spans="2:13">
      <c r="B68" s="40"/>
      <c r="M68" s="41"/>
    </row>
    <row r="69" spans="2:13" ht="14.5" thickBot="1">
      <c r="B69" s="42"/>
      <c r="C69" s="43"/>
      <c r="D69" s="43"/>
      <c r="E69" s="43"/>
      <c r="F69" s="43"/>
      <c r="G69" s="43"/>
      <c r="H69" s="43"/>
      <c r="I69" s="43"/>
      <c r="J69" s="43"/>
      <c r="K69" s="43"/>
      <c r="L69" s="43"/>
      <c r="M69" s="44"/>
    </row>
    <row r="70" spans="2:13" ht="14.5" thickBot="1"/>
    <row r="71" spans="2:13">
      <c r="B71" s="37" t="s">
        <v>14</v>
      </c>
      <c r="C71" s="38"/>
      <c r="D71" s="38"/>
      <c r="E71" s="38"/>
      <c r="F71" s="38"/>
      <c r="G71" s="38"/>
      <c r="H71" s="38"/>
      <c r="I71" s="38"/>
      <c r="J71" s="38"/>
      <c r="K71" s="38"/>
      <c r="L71" s="38"/>
      <c r="M71" s="39"/>
    </row>
    <row r="72" spans="2:13">
      <c r="B72" s="40"/>
      <c r="M72" s="41"/>
    </row>
    <row r="73" spans="2:13">
      <c r="B73" s="40"/>
      <c r="M73" s="41"/>
    </row>
    <row r="74" spans="2:13">
      <c r="B74" s="40"/>
      <c r="M74" s="41"/>
    </row>
    <row r="75" spans="2:13">
      <c r="B75" s="40"/>
      <c r="M75" s="41"/>
    </row>
    <row r="76" spans="2:13">
      <c r="B76" s="40"/>
      <c r="M76" s="41"/>
    </row>
    <row r="77" spans="2:13">
      <c r="B77" s="40"/>
      <c r="M77" s="41"/>
    </row>
    <row r="78" spans="2:13" ht="14.5" thickBot="1">
      <c r="B78" s="42"/>
      <c r="C78" s="43"/>
      <c r="D78" s="43"/>
      <c r="E78" s="43"/>
      <c r="F78" s="43"/>
      <c r="G78" s="43"/>
      <c r="H78" s="43"/>
      <c r="I78" s="43"/>
      <c r="J78" s="43"/>
      <c r="K78" s="43"/>
      <c r="L78" s="43"/>
      <c r="M78" s="44"/>
    </row>
    <row r="79" spans="2:13" ht="14.5" thickBot="1"/>
    <row r="80" spans="2:13">
      <c r="B80" s="1102" t="s">
        <v>15</v>
      </c>
      <c r="C80" s="1103"/>
      <c r="D80" s="1103"/>
      <c r="E80" s="1103"/>
      <c r="F80" s="1103"/>
      <c r="G80" s="1103"/>
      <c r="H80" s="1103"/>
      <c r="I80" s="1103"/>
      <c r="J80" s="1103"/>
      <c r="K80" s="1103"/>
      <c r="L80" s="1103"/>
      <c r="M80" s="1104"/>
    </row>
    <row r="81" spans="2:13">
      <c r="B81" s="40" t="s">
        <v>16</v>
      </c>
      <c r="M81" s="41"/>
    </row>
    <row r="82" spans="2:13">
      <c r="B82" s="40" t="s">
        <v>17</v>
      </c>
      <c r="M82" s="41"/>
    </row>
    <row r="83" spans="2:13">
      <c r="B83" s="40" t="s">
        <v>18</v>
      </c>
      <c r="M83" s="41"/>
    </row>
    <row r="84" spans="2:13" ht="14.5" thickBot="1">
      <c r="B84" s="42" t="s">
        <v>19</v>
      </c>
      <c r="C84" s="43"/>
      <c r="D84" s="43"/>
      <c r="E84" s="43"/>
      <c r="F84" s="43"/>
      <c r="G84" s="43"/>
      <c r="H84" s="43"/>
      <c r="I84" s="43"/>
      <c r="J84" s="43"/>
      <c r="K84" s="43"/>
      <c r="L84" s="43"/>
      <c r="M84" s="44"/>
    </row>
    <row r="85" spans="2:13" ht="14.5" thickBot="1"/>
    <row r="86" spans="2:13">
      <c r="B86" s="1102" t="s">
        <v>20</v>
      </c>
      <c r="C86" s="1103"/>
      <c r="D86" s="1103"/>
      <c r="E86" s="1103"/>
      <c r="F86" s="1103"/>
      <c r="G86" s="1103"/>
      <c r="H86" s="1103"/>
      <c r="I86" s="1103"/>
      <c r="J86" s="1103"/>
      <c r="K86" s="1103"/>
      <c r="L86" s="1103"/>
      <c r="M86" s="1104"/>
    </row>
    <row r="87" spans="2:13">
      <c r="B87" s="40" t="s">
        <v>21</v>
      </c>
      <c r="M87" s="41"/>
    </row>
    <row r="88" spans="2:13">
      <c r="B88" s="40" t="s">
        <v>22</v>
      </c>
      <c r="M88" s="41"/>
    </row>
    <row r="89" spans="2:13">
      <c r="B89" s="40" t="s">
        <v>23</v>
      </c>
      <c r="M89" s="41"/>
    </row>
    <row r="90" spans="2:13" ht="14.5" thickBot="1">
      <c r="B90" s="42" t="s">
        <v>24</v>
      </c>
      <c r="C90" s="43"/>
      <c r="D90" s="43"/>
      <c r="E90" s="43"/>
      <c r="F90" s="43"/>
      <c r="G90" s="43"/>
      <c r="H90" s="43"/>
      <c r="I90" s="43"/>
      <c r="J90" s="43"/>
      <c r="K90" s="43"/>
      <c r="L90" s="43"/>
      <c r="M90" s="44"/>
    </row>
    <row r="91" spans="2:13" ht="14.5" thickBot="1"/>
    <row r="92" spans="2:13">
      <c r="B92" s="1102" t="s">
        <v>25</v>
      </c>
      <c r="C92" s="1103"/>
      <c r="D92" s="1103"/>
      <c r="E92" s="1103"/>
      <c r="F92" s="1103"/>
      <c r="G92" s="1103"/>
      <c r="H92" s="1103"/>
      <c r="I92" s="1103"/>
      <c r="J92" s="1103"/>
      <c r="K92" s="1103"/>
      <c r="L92" s="1103"/>
      <c r="M92" s="1104"/>
    </row>
    <row r="93" spans="2:13">
      <c r="B93" s="40" t="s">
        <v>26</v>
      </c>
      <c r="M93" s="41"/>
    </row>
    <row r="94" spans="2:13">
      <c r="B94" s="40" t="s">
        <v>27</v>
      </c>
      <c r="M94" s="41"/>
    </row>
    <row r="95" spans="2:13">
      <c r="B95" s="40" t="s">
        <v>28</v>
      </c>
      <c r="M95" s="41"/>
    </row>
    <row r="96" spans="2:13">
      <c r="B96" s="40" t="s">
        <v>29</v>
      </c>
      <c r="M96" s="41"/>
    </row>
    <row r="97" spans="2:16" ht="14.5" thickBot="1">
      <c r="B97" s="42" t="s">
        <v>30</v>
      </c>
      <c r="C97" s="43"/>
      <c r="D97" s="43"/>
      <c r="E97" s="43"/>
      <c r="F97" s="43"/>
      <c r="G97" s="43"/>
      <c r="H97" s="43"/>
      <c r="I97" s="43"/>
      <c r="J97" s="43"/>
      <c r="K97" s="43"/>
      <c r="L97" s="43"/>
      <c r="M97" s="44"/>
    </row>
    <row r="98" spans="2:16" ht="14.5" thickBot="1"/>
    <row r="99" spans="2:16">
      <c r="B99" s="37" t="s">
        <v>31</v>
      </c>
      <c r="C99" s="38"/>
      <c r="D99" s="38"/>
      <c r="E99" s="38"/>
      <c r="F99" s="38"/>
      <c r="G99" s="38"/>
      <c r="H99" s="38"/>
      <c r="I99" s="38"/>
      <c r="J99" s="38"/>
      <c r="K99" s="38"/>
      <c r="L99" s="38"/>
      <c r="M99" s="39"/>
    </row>
    <row r="100" spans="2:16">
      <c r="B100" s="40"/>
      <c r="M100" s="41"/>
    </row>
    <row r="101" spans="2:16">
      <c r="B101" s="40"/>
      <c r="M101" s="41"/>
    </row>
    <row r="102" spans="2:16">
      <c r="B102" s="40"/>
      <c r="M102" s="41"/>
    </row>
    <row r="103" spans="2:16">
      <c r="B103" s="40"/>
      <c r="M103" s="41"/>
    </row>
    <row r="104" spans="2:16">
      <c r="B104" s="40"/>
      <c r="M104" s="41"/>
    </row>
    <row r="105" spans="2:16">
      <c r="B105" s="40"/>
      <c r="M105" s="41"/>
    </row>
    <row r="106" spans="2:16">
      <c r="B106" s="40"/>
      <c r="M106" s="41"/>
      <c r="P106" s="50"/>
    </row>
    <row r="107" spans="2:16">
      <c r="B107" s="40"/>
      <c r="M107" s="41"/>
    </row>
    <row r="108" spans="2:16">
      <c r="B108" s="40"/>
      <c r="M108" s="41"/>
    </row>
    <row r="109" spans="2:16">
      <c r="B109" s="40"/>
      <c r="M109" s="41"/>
    </row>
    <row r="110" spans="2:16">
      <c r="B110" s="40"/>
      <c r="M110" s="41"/>
    </row>
    <row r="111" spans="2:16">
      <c r="B111" s="40"/>
      <c r="M111" s="41"/>
    </row>
    <row r="112" spans="2:16">
      <c r="B112" s="40"/>
      <c r="M112" s="41"/>
    </row>
    <row r="113" spans="2:13">
      <c r="B113" s="40"/>
      <c r="M113" s="41"/>
    </row>
    <row r="114" spans="2:13">
      <c r="B114" s="40"/>
      <c r="M114" s="41"/>
    </row>
    <row r="115" spans="2:13">
      <c r="B115" s="40"/>
      <c r="M115" s="41"/>
    </row>
    <row r="116" spans="2:13">
      <c r="B116" s="40"/>
      <c r="M116" s="41"/>
    </row>
    <row r="117" spans="2:13" ht="14.5" thickBot="1">
      <c r="B117" s="42"/>
      <c r="C117" s="43"/>
      <c r="D117" s="43"/>
      <c r="E117" s="43"/>
      <c r="F117" s="43"/>
      <c r="G117" s="43"/>
      <c r="H117" s="43"/>
      <c r="I117" s="43"/>
      <c r="J117" s="43"/>
      <c r="K117" s="43"/>
      <c r="L117" s="43"/>
      <c r="M117" s="44"/>
    </row>
    <row r="118" spans="2:13" ht="14.5" thickBot="1"/>
    <row r="119" spans="2:13">
      <c r="B119" s="37" t="s">
        <v>32</v>
      </c>
      <c r="C119" s="38"/>
      <c r="D119" s="38"/>
      <c r="E119" s="38"/>
      <c r="F119" s="38"/>
      <c r="G119" s="38"/>
      <c r="H119" s="38"/>
      <c r="I119" s="38"/>
      <c r="J119" s="38"/>
      <c r="K119" s="38"/>
      <c r="L119" s="38"/>
      <c r="M119" s="39"/>
    </row>
    <row r="120" spans="2:13">
      <c r="B120" s="40"/>
      <c r="M120" s="41"/>
    </row>
    <row r="121" spans="2:13">
      <c r="B121" s="40"/>
      <c r="M121" s="41"/>
    </row>
    <row r="122" spans="2:13">
      <c r="B122" s="40"/>
      <c r="M122" s="41"/>
    </row>
    <row r="123" spans="2:13">
      <c r="B123" s="40"/>
      <c r="M123" s="41"/>
    </row>
    <row r="124" spans="2:13">
      <c r="B124" s="40"/>
      <c r="M124" s="41"/>
    </row>
    <row r="125" spans="2:13">
      <c r="B125" s="40"/>
      <c r="M125" s="41"/>
    </row>
    <row r="126" spans="2:13">
      <c r="B126" s="40"/>
      <c r="M126" s="41"/>
    </row>
    <row r="127" spans="2:13">
      <c r="B127" s="40"/>
      <c r="M127" s="41"/>
    </row>
    <row r="128" spans="2:13">
      <c r="B128" s="40"/>
      <c r="M128" s="41"/>
    </row>
    <row r="129" spans="2:13">
      <c r="B129" s="40"/>
      <c r="M129" s="41"/>
    </row>
    <row r="130" spans="2:13">
      <c r="B130" s="40"/>
      <c r="M130" s="41"/>
    </row>
    <row r="131" spans="2:13">
      <c r="B131" s="40"/>
      <c r="M131" s="41"/>
    </row>
    <row r="132" spans="2:13">
      <c r="B132" s="40"/>
      <c r="M132" s="41"/>
    </row>
    <row r="133" spans="2:13">
      <c r="B133" s="40"/>
      <c r="M133" s="41"/>
    </row>
    <row r="134" spans="2:13">
      <c r="B134" s="40"/>
      <c r="M134" s="41"/>
    </row>
    <row r="135" spans="2:13" ht="14.5" thickBot="1">
      <c r="B135" s="42"/>
      <c r="C135" s="43"/>
      <c r="D135" s="43"/>
      <c r="E135" s="43"/>
      <c r="F135" s="43"/>
      <c r="G135" s="43"/>
      <c r="H135" s="43"/>
      <c r="I135" s="43"/>
      <c r="J135" s="43"/>
      <c r="K135" s="43"/>
      <c r="L135" s="43"/>
      <c r="M135" s="44"/>
    </row>
    <row r="136" spans="2:13" ht="14.5" thickBot="1"/>
    <row r="137" spans="2:13">
      <c r="B137" s="37" t="s">
        <v>33</v>
      </c>
      <c r="C137" s="38"/>
      <c r="D137" s="38"/>
      <c r="E137" s="38"/>
      <c r="F137" s="38"/>
      <c r="G137" s="38"/>
      <c r="H137" s="38"/>
      <c r="I137" s="38"/>
      <c r="J137" s="38"/>
      <c r="K137" s="38"/>
      <c r="L137" s="38"/>
      <c r="M137" s="39"/>
    </row>
    <row r="138" spans="2:13">
      <c r="B138" s="40"/>
      <c r="M138" s="41"/>
    </row>
    <row r="139" spans="2:13">
      <c r="B139" s="40"/>
      <c r="M139" s="41"/>
    </row>
    <row r="140" spans="2:13">
      <c r="B140" s="40"/>
      <c r="M140" s="41"/>
    </row>
    <row r="141" spans="2:13">
      <c r="B141" s="40"/>
      <c r="M141" s="41"/>
    </row>
    <row r="142" spans="2:13">
      <c r="B142" s="40"/>
      <c r="M142" s="41"/>
    </row>
    <row r="143" spans="2:13">
      <c r="B143" s="40"/>
      <c r="M143" s="41"/>
    </row>
    <row r="144" spans="2:13">
      <c r="B144" s="40"/>
      <c r="M144" s="41"/>
    </row>
    <row r="145" spans="2:13">
      <c r="B145" s="40"/>
      <c r="M145" s="41"/>
    </row>
    <row r="146" spans="2:13">
      <c r="B146" s="40"/>
      <c r="M146" s="41"/>
    </row>
    <row r="147" spans="2:13">
      <c r="B147" s="40"/>
      <c r="M147" s="41"/>
    </row>
    <row r="148" spans="2:13">
      <c r="B148" s="40"/>
      <c r="M148" s="41"/>
    </row>
    <row r="149" spans="2:13">
      <c r="B149" s="40"/>
      <c r="M149" s="41"/>
    </row>
    <row r="150" spans="2:13">
      <c r="B150" s="40"/>
      <c r="M150" s="41"/>
    </row>
    <row r="151" spans="2:13">
      <c r="B151" s="40"/>
      <c r="M151" s="41"/>
    </row>
    <row r="152" spans="2:13">
      <c r="B152" s="40" t="s">
        <v>34</v>
      </c>
      <c r="M152" s="41"/>
    </row>
    <row r="153" spans="2:13">
      <c r="B153" s="40"/>
      <c r="M153" s="41"/>
    </row>
    <row r="154" spans="2:13">
      <c r="B154" s="40"/>
      <c r="M154" s="41"/>
    </row>
    <row r="155" spans="2:13">
      <c r="B155" s="40"/>
      <c r="M155" s="41"/>
    </row>
    <row r="156" spans="2:13">
      <c r="B156" s="40"/>
      <c r="M156" s="41"/>
    </row>
    <row r="157" spans="2:13">
      <c r="B157" s="40"/>
      <c r="M157" s="41"/>
    </row>
    <row r="158" spans="2:13">
      <c r="B158" s="40"/>
      <c r="M158" s="41"/>
    </row>
    <row r="159" spans="2:13">
      <c r="B159" s="40"/>
      <c r="M159" s="41"/>
    </row>
    <row r="160" spans="2:13">
      <c r="B160" s="40"/>
      <c r="M160" s="41"/>
    </row>
    <row r="161" spans="2:16">
      <c r="B161" s="40"/>
      <c r="M161" s="41"/>
    </row>
    <row r="162" spans="2:16">
      <c r="B162" s="40"/>
      <c r="M162" s="41"/>
    </row>
    <row r="163" spans="2:16">
      <c r="B163" s="40"/>
      <c r="M163" s="41"/>
    </row>
    <row r="164" spans="2:16">
      <c r="B164" s="40"/>
      <c r="M164" s="41"/>
    </row>
    <row r="165" spans="2:16">
      <c r="B165" s="40"/>
      <c r="M165" s="41"/>
    </row>
    <row r="166" spans="2:16">
      <c r="B166" s="40"/>
      <c r="M166" s="41"/>
    </row>
    <row r="167" spans="2:16">
      <c r="B167" s="40"/>
      <c r="M167" s="41"/>
    </row>
    <row r="168" spans="2:16">
      <c r="B168" s="40"/>
      <c r="M168" s="41"/>
    </row>
    <row r="169" spans="2:16" ht="14.5" thickBot="1">
      <c r="B169" s="42"/>
      <c r="C169" s="43"/>
      <c r="D169" s="43"/>
      <c r="E169" s="43"/>
      <c r="F169" s="43"/>
      <c r="G169" s="43"/>
      <c r="H169" s="43"/>
      <c r="I169" s="43"/>
      <c r="J169" s="43"/>
      <c r="K169" s="43"/>
      <c r="L169" s="43"/>
      <c r="M169" s="44"/>
    </row>
    <row r="170" spans="2:16" ht="14.5" thickBot="1"/>
    <row r="171" spans="2:16">
      <c r="B171" s="37" t="s">
        <v>35</v>
      </c>
      <c r="C171" s="38"/>
      <c r="D171" s="38"/>
      <c r="E171" s="38"/>
      <c r="F171" s="38"/>
      <c r="G171" s="38"/>
      <c r="H171" s="38"/>
      <c r="I171" s="38"/>
      <c r="J171" s="38"/>
      <c r="K171" s="38"/>
      <c r="L171" s="38"/>
      <c r="M171" s="39"/>
    </row>
    <row r="172" spans="2:16">
      <c r="B172" s="40"/>
      <c r="M172" s="41"/>
    </row>
    <row r="173" spans="2:16">
      <c r="B173" s="40"/>
      <c r="M173" s="41"/>
    </row>
    <row r="174" spans="2:16">
      <c r="B174" s="40"/>
      <c r="M174" s="41"/>
    </row>
    <row r="175" spans="2:16">
      <c r="B175" s="40"/>
      <c r="M175" s="41"/>
    </row>
    <row r="176" spans="2:16">
      <c r="B176" s="40"/>
      <c r="M176" s="41"/>
      <c r="P176" s="50"/>
    </row>
    <row r="177" spans="2:13">
      <c r="B177" s="40"/>
      <c r="M177" s="41"/>
    </row>
    <row r="178" spans="2:13">
      <c r="B178" s="40"/>
      <c r="M178" s="41"/>
    </row>
    <row r="179" spans="2:13">
      <c r="B179" s="40"/>
      <c r="M179" s="41"/>
    </row>
    <row r="180" spans="2:13">
      <c r="B180" s="40"/>
      <c r="M180" s="41"/>
    </row>
    <row r="181" spans="2:13">
      <c r="B181" s="40"/>
      <c r="M181" s="41"/>
    </row>
    <row r="182" spans="2:13">
      <c r="B182" s="40"/>
      <c r="M182" s="41"/>
    </row>
    <row r="183" spans="2:13">
      <c r="B183" s="40"/>
      <c r="M183" s="41"/>
    </row>
    <row r="184" spans="2:13">
      <c r="B184" s="40"/>
      <c r="M184" s="41"/>
    </row>
    <row r="185" spans="2:13">
      <c r="B185" s="40"/>
      <c r="M185" s="41"/>
    </row>
    <row r="186" spans="2:13">
      <c r="B186" s="40"/>
      <c r="M186" s="41"/>
    </row>
    <row r="187" spans="2:13">
      <c r="B187" s="40"/>
      <c r="M187" s="41"/>
    </row>
    <row r="188" spans="2:13">
      <c r="B188" s="40"/>
      <c r="M188" s="41"/>
    </row>
    <row r="189" spans="2:13">
      <c r="B189" s="40"/>
      <c r="M189" s="41"/>
    </row>
    <row r="190" spans="2:13">
      <c r="B190" s="40"/>
      <c r="M190" s="41"/>
    </row>
    <row r="191" spans="2:13">
      <c r="B191" s="40"/>
      <c r="M191" s="41"/>
    </row>
    <row r="192" spans="2:13">
      <c r="B192" s="40"/>
      <c r="M192" s="41"/>
    </row>
    <row r="193" spans="2:13">
      <c r="B193" s="40"/>
      <c r="M193" s="41"/>
    </row>
    <row r="194" spans="2:13" ht="14.5" thickBot="1">
      <c r="B194" s="42"/>
      <c r="C194" s="43"/>
      <c r="D194" s="43"/>
      <c r="E194" s="43"/>
      <c r="F194" s="43"/>
      <c r="G194" s="43"/>
      <c r="H194" s="43"/>
      <c r="I194" s="43"/>
      <c r="J194" s="43"/>
      <c r="K194" s="43"/>
      <c r="L194" s="43"/>
      <c r="M194" s="44"/>
    </row>
  </sheetData>
  <mergeCells count="4">
    <mergeCell ref="B2:M2"/>
    <mergeCell ref="B86:M86"/>
    <mergeCell ref="B80:M80"/>
    <mergeCell ref="B92:M9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C3B31-F347-40FC-AAA3-3917AC4E18EA}">
  <dimension ref="A2:L86"/>
  <sheetViews>
    <sheetView workbookViewId="0">
      <selection activeCell="B18" sqref="B18"/>
    </sheetView>
  </sheetViews>
  <sheetFormatPr defaultColWidth="9" defaultRowHeight="14"/>
  <cols>
    <col min="1" max="1" width="58.33203125" customWidth="1"/>
    <col min="2" max="2" width="40.58203125" customWidth="1"/>
    <col min="3" max="3" width="5.83203125" customWidth="1"/>
    <col min="4" max="4" width="46.83203125" style="79" customWidth="1"/>
    <col min="5" max="5" width="10.83203125" bestFit="1" customWidth="1"/>
    <col min="6" max="6" width="9.83203125" bestFit="1" customWidth="1"/>
    <col min="8" max="8" width="10.5" bestFit="1" customWidth="1"/>
  </cols>
  <sheetData>
    <row r="2" spans="1:12">
      <c r="A2" s="76" t="s">
        <v>122</v>
      </c>
    </row>
    <row r="3" spans="1:12">
      <c r="B3" s="68" t="s">
        <v>123</v>
      </c>
      <c r="C3" s="68"/>
    </row>
    <row r="4" spans="1:12">
      <c r="A4" s="104" t="s">
        <v>124</v>
      </c>
      <c r="B4" s="105" t="s">
        <v>672</v>
      </c>
      <c r="F4" s="122"/>
      <c r="G4" s="123"/>
    </row>
    <row r="5" spans="1:12">
      <c r="A5" t="s">
        <v>126</v>
      </c>
      <c r="B5" s="68">
        <v>63</v>
      </c>
      <c r="F5" s="122"/>
      <c r="G5" s="123"/>
    </row>
    <row r="6" spans="1:12" s="118" customFormat="1" ht="14.5">
      <c r="A6" s="118" t="s">
        <v>127</v>
      </c>
      <c r="B6" s="102">
        <v>63</v>
      </c>
      <c r="D6" s="899"/>
      <c r="F6" s="137"/>
      <c r="G6" s="129"/>
    </row>
    <row r="7" spans="1:12" ht="28">
      <c r="A7" t="s">
        <v>128</v>
      </c>
      <c r="B7" s="108">
        <f>'[15]2324 Band Values'!BK26</f>
        <v>12430.848086373695</v>
      </c>
      <c r="C7" s="108" t="s">
        <v>129</v>
      </c>
      <c r="D7" s="79" t="s">
        <v>130</v>
      </c>
      <c r="F7" s="905"/>
      <c r="G7" s="123"/>
    </row>
    <row r="8" spans="1:12" ht="28">
      <c r="A8" s="111" t="s">
        <v>131</v>
      </c>
      <c r="B8" s="108">
        <f>('[15]WS - Delivery Model'!S65*0.5)+('[15]WS - Delivery Model'!S67*2)+('[15]WS - Delivery Model'!S65*0.5)</f>
        <v>89550</v>
      </c>
      <c r="D8" s="79" t="s">
        <v>132</v>
      </c>
      <c r="F8" s="905"/>
      <c r="G8" s="123"/>
      <c r="K8" s="613"/>
      <c r="L8" s="112"/>
    </row>
    <row r="9" spans="1:12">
      <c r="A9" s="134" t="s">
        <v>133</v>
      </c>
      <c r="B9" s="586">
        <f>(B6*B7)+B8</f>
        <v>872693.42944154283</v>
      </c>
      <c r="C9" s="108"/>
      <c r="D9" s="115"/>
      <c r="F9" s="106"/>
      <c r="G9" s="123"/>
      <c r="L9" s="892"/>
    </row>
    <row r="10" spans="1:12">
      <c r="B10" s="108"/>
      <c r="D10" s="115"/>
      <c r="F10" s="106"/>
      <c r="G10" s="123"/>
    </row>
    <row r="11" spans="1:12" ht="14.5">
      <c r="A11" s="106" t="s">
        <v>134</v>
      </c>
      <c r="B11" s="588">
        <f>(((64940/955)+(19503/1345))*2.53*190)/4</f>
        <v>9914.4821747211899</v>
      </c>
      <c r="C11" s="910">
        <f>(B11/(190*2.53))/B5</f>
        <v>0.32738242756830122</v>
      </c>
      <c r="D11" s="606" t="s">
        <v>135</v>
      </c>
      <c r="F11" s="607"/>
      <c r="G11" s="123"/>
    </row>
    <row r="12" spans="1:12">
      <c r="A12" s="106"/>
      <c r="B12" s="123"/>
      <c r="D12" s="115"/>
      <c r="F12" s="106"/>
      <c r="G12" s="123"/>
    </row>
    <row r="13" spans="1:12">
      <c r="A13" s="106" t="s">
        <v>136</v>
      </c>
      <c r="B13" s="107" t="s">
        <v>137</v>
      </c>
      <c r="C13" s="107"/>
      <c r="D13" s="850" t="s">
        <v>673</v>
      </c>
      <c r="F13" s="106"/>
      <c r="G13" s="123"/>
    </row>
    <row r="14" spans="1:12">
      <c r="A14" s="104"/>
      <c r="B14" s="105"/>
    </row>
    <row r="15" spans="1:12" ht="28">
      <c r="A15" s="135" t="s">
        <v>139</v>
      </c>
      <c r="B15" s="136">
        <f>SUM(399455-((41002*1.03)-(27335*1.03)))</f>
        <v>385377.99</v>
      </c>
      <c r="C15" s="108"/>
      <c r="D15" s="850" t="s">
        <v>140</v>
      </c>
      <c r="F15" s="905"/>
      <c r="H15" s="906"/>
    </row>
    <row r="16" spans="1:12">
      <c r="A16" s="135" t="s">
        <v>141</v>
      </c>
      <c r="B16" s="136">
        <v>116699</v>
      </c>
      <c r="D16" s="115"/>
      <c r="F16" s="905"/>
      <c r="I16" s="892"/>
    </row>
    <row r="17" spans="1:4">
      <c r="A17" s="122"/>
      <c r="B17" s="122"/>
      <c r="D17" s="115"/>
    </row>
    <row r="18" spans="1:4">
      <c r="A18" s="109" t="s">
        <v>142</v>
      </c>
      <c r="B18" s="130">
        <f>B9+B11+B15+B16</f>
        <v>1384684.9016162641</v>
      </c>
      <c r="C18" s="130"/>
      <c r="D18" s="900"/>
    </row>
    <row r="19" spans="1:4">
      <c r="A19" s="109"/>
      <c r="B19" s="130"/>
      <c r="C19" s="130"/>
      <c r="D19" s="900"/>
    </row>
    <row r="20" spans="1:4">
      <c r="A20" s="104" t="s">
        <v>143</v>
      </c>
      <c r="D20" s="900"/>
    </row>
    <row r="21" spans="1:4">
      <c r="A21" s="83" t="s">
        <v>144</v>
      </c>
      <c r="B21" s="108">
        <f>(1/4)*'[15]WS - Delivery Model'!S77</f>
        <v>10182.5</v>
      </c>
      <c r="C21" s="108"/>
      <c r="D21" s="900"/>
    </row>
    <row r="22" spans="1:4">
      <c r="A22" s="83" t="s">
        <v>145</v>
      </c>
      <c r="B22" s="108">
        <f>(1/4)*'[15]WS - Delivery Model'!S78</f>
        <v>10182.5</v>
      </c>
      <c r="C22" s="112"/>
      <c r="D22" s="900"/>
    </row>
    <row r="23" spans="1:4">
      <c r="A23" s="83" t="s">
        <v>146</v>
      </c>
      <c r="B23" s="108">
        <f>(1/4)*'[15]WS - Delivery Model'!S79</f>
        <v>7465</v>
      </c>
      <c r="C23" s="112"/>
      <c r="D23" s="900"/>
    </row>
    <row r="24" spans="1:4">
      <c r="A24" s="83" t="s">
        <v>147</v>
      </c>
      <c r="B24" s="108">
        <f>('[15]WS - Delivery Model'!S80/4)+'[15]WS - Delivery Model'!N61/4</f>
        <v>10146.5</v>
      </c>
      <c r="C24" s="108"/>
      <c r="D24" s="900"/>
    </row>
    <row r="25" spans="1:4">
      <c r="A25" s="83"/>
      <c r="B25" s="108"/>
      <c r="C25" s="108"/>
      <c r="D25" s="900"/>
    </row>
    <row r="26" spans="1:4">
      <c r="B26" s="113">
        <f>SUM(B21:B25)</f>
        <v>37976.5</v>
      </c>
      <c r="C26" s="108"/>
      <c r="D26" s="900"/>
    </row>
    <row r="27" spans="1:4">
      <c r="A27" s="109"/>
      <c r="B27" s="130"/>
      <c r="C27" s="130"/>
      <c r="D27" s="900"/>
    </row>
    <row r="28" spans="1:4">
      <c r="A28" s="109" t="s">
        <v>148</v>
      </c>
      <c r="B28" s="130">
        <f>B18+B26</f>
        <v>1422661.4016162641</v>
      </c>
      <c r="C28" s="130"/>
      <c r="D28" s="900"/>
    </row>
    <row r="29" spans="1:4">
      <c r="A29" s="109"/>
      <c r="B29" s="130"/>
      <c r="C29" s="130"/>
      <c r="D29" s="900"/>
    </row>
    <row r="30" spans="1:4">
      <c r="A30" s="911" t="s">
        <v>149</v>
      </c>
      <c r="B30" s="912">
        <f>199055/4</f>
        <v>49763.75</v>
      </c>
      <c r="C30" s="130"/>
      <c r="D30" s="900"/>
    </row>
    <row r="31" spans="1:4">
      <c r="A31" s="109"/>
      <c r="B31" s="130"/>
      <c r="C31" s="130"/>
      <c r="D31" s="900"/>
    </row>
    <row r="32" spans="1:4">
      <c r="A32" s="109" t="s">
        <v>150</v>
      </c>
      <c r="B32" s="130">
        <f>B28+B30</f>
        <v>1472425.1516162641</v>
      </c>
      <c r="C32" s="903"/>
      <c r="D32" s="900"/>
    </row>
    <row r="33" spans="1:4">
      <c r="A33" s="109"/>
      <c r="B33" s="130"/>
      <c r="C33" s="130"/>
      <c r="D33" s="900"/>
    </row>
    <row r="34" spans="1:4">
      <c r="A34" s="897"/>
      <c r="B34" s="898"/>
      <c r="D34" s="115"/>
    </row>
    <row r="35" spans="1:4">
      <c r="A35" s="894" t="s">
        <v>151</v>
      </c>
      <c r="B35" s="130"/>
      <c r="C35" s="123"/>
      <c r="D35" s="901"/>
    </row>
    <row r="36" spans="1:4">
      <c r="A36" s="106" t="s">
        <v>152</v>
      </c>
      <c r="B36" s="123">
        <v>10000</v>
      </c>
      <c r="C36" s="123"/>
      <c r="D36" s="901"/>
    </row>
    <row r="37" spans="1:4">
      <c r="A37" s="109" t="s">
        <v>153</v>
      </c>
      <c r="B37" s="130">
        <f>(B18-(B6*B36))/B6</f>
        <v>11979.125422480383</v>
      </c>
      <c r="C37" s="123"/>
      <c r="D37" s="901"/>
    </row>
    <row r="38" spans="1:4">
      <c r="A38" s="106" t="s">
        <v>154</v>
      </c>
      <c r="B38" s="123">
        <f>SUM(B36:B37)</f>
        <v>21979.125422480385</v>
      </c>
      <c r="C38" s="123"/>
      <c r="D38" s="901"/>
    </row>
    <row r="39" spans="1:4">
      <c r="A39" s="907"/>
      <c r="B39" s="596"/>
      <c r="C39" s="123"/>
      <c r="D39" s="901"/>
    </row>
    <row r="40" spans="1:4">
      <c r="A40" s="106"/>
      <c r="B40" s="123"/>
      <c r="C40" s="123"/>
      <c r="D40" s="901"/>
    </row>
    <row r="41" spans="1:4">
      <c r="A41" s="109" t="s">
        <v>155</v>
      </c>
      <c r="B41" s="123"/>
      <c r="C41" s="123"/>
      <c r="D41" s="901"/>
    </row>
    <row r="42" spans="1:4">
      <c r="A42" s="106" t="s">
        <v>152</v>
      </c>
      <c r="B42" s="123">
        <v>10000</v>
      </c>
      <c r="C42" s="123"/>
      <c r="D42" s="901"/>
    </row>
    <row r="43" spans="1:4">
      <c r="A43" s="109" t="s">
        <v>153</v>
      </c>
      <c r="B43" s="130">
        <f>(B28-(B6*B42))/B6</f>
        <v>12581.92700978197</v>
      </c>
      <c r="C43" s="123"/>
      <c r="D43" s="901"/>
    </row>
    <row r="44" spans="1:4">
      <c r="A44" s="106" t="s">
        <v>154</v>
      </c>
      <c r="B44" s="123">
        <f>SUM(B42:B43)</f>
        <v>22581.927009781968</v>
      </c>
      <c r="C44" s="123"/>
      <c r="D44" s="901"/>
    </row>
    <row r="45" spans="1:4">
      <c r="A45" s="894"/>
      <c r="B45" s="130"/>
      <c r="C45" s="123"/>
      <c r="D45" s="901"/>
    </row>
    <row r="46" spans="1:4">
      <c r="A46" s="109" t="s">
        <v>674</v>
      </c>
      <c r="B46" s="141"/>
      <c r="C46" s="122"/>
      <c r="D46" s="896"/>
    </row>
    <row r="47" spans="1:4" ht="28">
      <c r="A47" s="122" t="s">
        <v>675</v>
      </c>
      <c r="B47" s="123">
        <f>'[15]AP Formula 202122'!B25-'[15]AP Formula 202122'!B51</f>
        <v>1249914.3125819003</v>
      </c>
      <c r="C47" s="122"/>
      <c r="D47" s="902" t="s">
        <v>676</v>
      </c>
    </row>
    <row r="48" spans="1:4">
      <c r="A48" s="122"/>
      <c r="B48" s="123"/>
      <c r="C48" s="122"/>
      <c r="D48" s="902"/>
    </row>
    <row r="49" spans="1:4" ht="28">
      <c r="A49" s="122" t="s">
        <v>156</v>
      </c>
      <c r="B49" s="123">
        <f>B18-'[15]AP Formula 202122'!B51</f>
        <v>1330914.1585531391</v>
      </c>
      <c r="C49" s="122"/>
      <c r="D49" s="902" t="s">
        <v>157</v>
      </c>
    </row>
    <row r="50" spans="1:4" ht="28">
      <c r="A50" s="894" t="s">
        <v>677</v>
      </c>
      <c r="B50" s="895">
        <f>(B49-B47)/B47</f>
        <v>6.4804319108819952E-2</v>
      </c>
      <c r="C50" s="122"/>
      <c r="D50" s="902" t="s">
        <v>160</v>
      </c>
    </row>
    <row r="51" spans="1:4">
      <c r="D51" s="115"/>
    </row>
    <row r="52" spans="1:4">
      <c r="B52" s="851"/>
      <c r="D52" s="115"/>
    </row>
    <row r="53" spans="1:4">
      <c r="A53" s="100" t="s">
        <v>161</v>
      </c>
      <c r="B53" s="110">
        <f>B32</f>
        <v>1472425.1516162641</v>
      </c>
      <c r="C53" s="108"/>
      <c r="D53" s="115"/>
    </row>
    <row r="54" spans="1:4">
      <c r="A54" s="109" t="s">
        <v>162</v>
      </c>
      <c r="B54" s="110">
        <f>B53*4</f>
        <v>5889700.6064650565</v>
      </c>
      <c r="C54" s="108"/>
      <c r="D54" s="900"/>
    </row>
    <row r="55" spans="1:4">
      <c r="A55" s="109"/>
      <c r="B55" s="110"/>
      <c r="C55" s="108"/>
      <c r="D55" s="115"/>
    </row>
    <row r="56" spans="1:4" ht="14.5">
      <c r="A56" s="106"/>
      <c r="B56" s="110"/>
      <c r="C56" s="108"/>
      <c r="D56" s="899"/>
    </row>
    <row r="57" spans="1:4" ht="14.5">
      <c r="A57" s="104" t="s">
        <v>163</v>
      </c>
      <c r="B57" s="108"/>
      <c r="C57" s="108"/>
      <c r="D57" s="899"/>
    </row>
    <row r="58" spans="1:4" ht="14.25" customHeight="1">
      <c r="A58" s="1119" t="s">
        <v>678</v>
      </c>
      <c r="B58" s="1119"/>
      <c r="C58" s="1119"/>
      <c r="D58" s="900"/>
    </row>
    <row r="59" spans="1:4">
      <c r="A59" s="1119"/>
      <c r="B59" s="1119"/>
      <c r="C59" s="1119"/>
      <c r="D59" s="900"/>
    </row>
    <row r="60" spans="1:4" ht="14.25" customHeight="1">
      <c r="A60" s="1119" t="s">
        <v>679</v>
      </c>
      <c r="B60" s="1119"/>
      <c r="C60" s="1119"/>
      <c r="D60" s="900"/>
    </row>
    <row r="61" spans="1:4" ht="14.25" customHeight="1">
      <c r="A61" s="1119"/>
      <c r="B61" s="1119"/>
      <c r="C61" s="1119"/>
      <c r="D61" s="900"/>
    </row>
    <row r="62" spans="1:4" ht="14.25" customHeight="1">
      <c r="A62" s="1120" t="s">
        <v>164</v>
      </c>
      <c r="B62" s="1120"/>
      <c r="C62" s="1120"/>
      <c r="D62" s="900"/>
    </row>
    <row r="63" spans="1:4" ht="14.25" customHeight="1">
      <c r="A63" s="1119" t="s">
        <v>680</v>
      </c>
      <c r="B63" s="1119"/>
      <c r="C63" s="1119"/>
    </row>
    <row r="64" spans="1:4" ht="14.25" customHeight="1">
      <c r="A64" s="1119"/>
      <c r="B64" s="1119"/>
      <c r="C64" s="1119"/>
    </row>
    <row r="65" spans="1:3" ht="14.25" customHeight="1">
      <c r="A65" s="1119"/>
      <c r="B65" s="1119"/>
      <c r="C65" s="1119"/>
    </row>
    <row r="66" spans="1:3" ht="14.25" customHeight="1">
      <c r="A66" s="1119"/>
      <c r="B66" s="1119"/>
      <c r="C66" s="1119"/>
    </row>
    <row r="67" spans="1:3" ht="14.25" customHeight="1">
      <c r="A67" s="1119"/>
      <c r="B67" s="1119"/>
      <c r="C67" s="1119"/>
    </row>
    <row r="68" spans="1:3" ht="14.25" customHeight="1">
      <c r="A68" s="1119"/>
      <c r="B68" s="1119"/>
      <c r="C68" s="1119"/>
    </row>
    <row r="69" spans="1:3" ht="14.25" customHeight="1">
      <c r="A69" s="1118" t="s">
        <v>681</v>
      </c>
      <c r="B69" s="1118"/>
      <c r="C69" s="1118"/>
    </row>
    <row r="70" spans="1:3" ht="14.25" customHeight="1">
      <c r="A70" s="1118"/>
      <c r="B70" s="1118"/>
      <c r="C70" s="1118"/>
    </row>
    <row r="71" spans="1:3" ht="14.25" customHeight="1">
      <c r="A71" s="1118"/>
      <c r="B71" s="1118"/>
      <c r="C71" s="1118"/>
    </row>
    <row r="72" spans="1:3" ht="14.25" customHeight="1">
      <c r="A72" s="1118"/>
      <c r="B72" s="1118"/>
      <c r="C72" s="1118"/>
    </row>
    <row r="73" spans="1:3" ht="14.25" customHeight="1">
      <c r="A73" s="902"/>
      <c r="B73" s="902"/>
      <c r="C73" s="902"/>
    </row>
    <row r="74" spans="1:3" ht="14.25" customHeight="1">
      <c r="A74" s="1121" t="s">
        <v>165</v>
      </c>
      <c r="B74" s="1121"/>
      <c r="C74" s="1121"/>
    </row>
    <row r="75" spans="1:3" ht="14.25" customHeight="1"/>
    <row r="76" spans="1:3">
      <c r="A76" s="114" t="s">
        <v>166</v>
      </c>
      <c r="B76" s="68"/>
    </row>
    <row r="77" spans="1:3">
      <c r="A77" s="1118" t="s">
        <v>167</v>
      </c>
      <c r="B77" s="1118"/>
      <c r="C77" s="1118"/>
    </row>
    <row r="78" spans="1:3">
      <c r="A78" s="1118"/>
      <c r="B78" s="1118"/>
      <c r="C78" s="1118"/>
    </row>
    <row r="79" spans="1:3">
      <c r="A79" s="1118" t="s">
        <v>168</v>
      </c>
      <c r="B79" s="1118"/>
      <c r="C79" s="1118"/>
    </row>
    <row r="80" spans="1:3">
      <c r="A80" s="1118"/>
      <c r="B80" s="1118"/>
      <c r="C80" s="1118"/>
    </row>
    <row r="81" spans="1:3">
      <c r="A81" s="1118"/>
      <c r="B81" s="1118"/>
      <c r="C81" s="1118"/>
    </row>
    <row r="82" spans="1:3">
      <c r="A82" s="1118"/>
      <c r="B82" s="1118"/>
      <c r="C82" s="1118"/>
    </row>
    <row r="83" spans="1:3">
      <c r="A83" s="1118"/>
      <c r="B83" s="1118"/>
      <c r="C83" s="1118"/>
    </row>
    <row r="84" spans="1:3">
      <c r="A84" s="1118"/>
      <c r="B84" s="1118"/>
      <c r="C84" s="1118"/>
    </row>
    <row r="85" spans="1:3">
      <c r="A85" s="1118"/>
      <c r="B85" s="1118"/>
      <c r="C85" s="1118"/>
    </row>
    <row r="86" spans="1:3">
      <c r="A86" s="1118"/>
      <c r="B86" s="1118"/>
      <c r="C86" s="1118"/>
    </row>
  </sheetData>
  <mergeCells count="8">
    <mergeCell ref="A77:C78"/>
    <mergeCell ref="A79:C86"/>
    <mergeCell ref="A58:C59"/>
    <mergeCell ref="A60:C61"/>
    <mergeCell ref="A62:C62"/>
    <mergeCell ref="A63:C68"/>
    <mergeCell ref="A69:C72"/>
    <mergeCell ref="A74:C74"/>
  </mergeCells>
  <conditionalFormatting sqref="B50">
    <cfRule type="cellIs" dxfId="4" priority="1" operator="greaterThan">
      <formula>0</formula>
    </cfRule>
    <cfRule type="cellIs" dxfId="3" priority="2" operator="greaterThan">
      <formula>0</formula>
    </cfRule>
    <cfRule type="cellIs" dxfId="2" priority="3" operator="greater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CFE4-C012-4B26-BA59-0EC20A1F9348}">
  <dimension ref="B2:J12"/>
  <sheetViews>
    <sheetView workbookViewId="0">
      <selection activeCell="H13" sqref="H13"/>
    </sheetView>
  </sheetViews>
  <sheetFormatPr defaultRowHeight="14"/>
  <cols>
    <col min="2" max="2" width="16" bestFit="1" customWidth="1"/>
    <col min="3" max="3" width="11.58203125" bestFit="1" customWidth="1"/>
  </cols>
  <sheetData>
    <row r="2" spans="2:10" ht="52">
      <c r="B2" s="913" t="s">
        <v>682</v>
      </c>
      <c r="C2" s="913" t="s">
        <v>683</v>
      </c>
      <c r="D2" s="914"/>
      <c r="E2" s="915" t="s">
        <v>684</v>
      </c>
      <c r="F2" s="915" t="s">
        <v>685</v>
      </c>
      <c r="G2" s="915" t="s">
        <v>686</v>
      </c>
      <c r="H2" s="915" t="s">
        <v>687</v>
      </c>
      <c r="I2" s="916"/>
      <c r="J2" s="917" t="s">
        <v>688</v>
      </c>
    </row>
    <row r="3" spans="2:10">
      <c r="B3" s="918"/>
      <c r="C3" s="918"/>
      <c r="D3" s="918"/>
      <c r="E3" s="918"/>
      <c r="F3" s="918"/>
      <c r="G3" s="918"/>
      <c r="H3" s="919"/>
      <c r="I3" s="916"/>
      <c r="J3" s="919"/>
    </row>
    <row r="4" spans="2:10">
      <c r="B4" s="918" t="s">
        <v>689</v>
      </c>
      <c r="C4" s="918" t="s">
        <v>690</v>
      </c>
      <c r="D4" s="918"/>
      <c r="E4" s="920">
        <v>2243.6502192982457</v>
      </c>
      <c r="F4" s="920">
        <v>4291.75</v>
      </c>
      <c r="G4" s="920">
        <v>435.07669220559848</v>
      </c>
      <c r="H4" s="921">
        <v>6733.4806965127136</v>
      </c>
      <c r="I4" s="916"/>
      <c r="J4" s="922">
        <v>1.5647963269263949E-2</v>
      </c>
    </row>
    <row r="5" spans="2:10">
      <c r="B5" s="918" t="s">
        <v>691</v>
      </c>
      <c r="C5" s="918" t="s">
        <v>692</v>
      </c>
      <c r="D5" s="918"/>
      <c r="E5" s="920">
        <v>2692.3802631578947</v>
      </c>
      <c r="F5" s="920">
        <v>5150.1000000000004</v>
      </c>
      <c r="G5" s="920">
        <v>435.07669220559848</v>
      </c>
      <c r="H5" s="921">
        <v>7996.1200188811354</v>
      </c>
      <c r="I5" s="916"/>
      <c r="J5" s="922">
        <v>1.2954081541993625E-2</v>
      </c>
    </row>
    <row r="6" spans="2:10">
      <c r="B6" s="918" t="s">
        <v>693</v>
      </c>
      <c r="C6" s="918" t="s">
        <v>694</v>
      </c>
      <c r="D6" s="918"/>
      <c r="E6" s="920">
        <v>9726.2237006578944</v>
      </c>
      <c r="F6" s="920">
        <v>6437.625</v>
      </c>
      <c r="G6" s="920">
        <v>435.07669220559848</v>
      </c>
      <c r="H6" s="921">
        <v>16034.561929506133</v>
      </c>
      <c r="I6" s="916"/>
      <c r="J6" s="922">
        <v>3.0085612682438333E-2</v>
      </c>
    </row>
    <row r="7" spans="2:10">
      <c r="B7" s="918" t="s">
        <v>695</v>
      </c>
      <c r="C7" s="918" t="s">
        <v>696</v>
      </c>
      <c r="D7" s="918"/>
      <c r="E7" s="920">
        <v>10096.425986842105</v>
      </c>
      <c r="F7" s="920">
        <v>6437.625</v>
      </c>
      <c r="G7" s="920">
        <v>435.07669220559848</v>
      </c>
      <c r="H7" s="921">
        <v>16392.177337960082</v>
      </c>
      <c r="I7" s="916"/>
      <c r="J7" s="922">
        <v>3.1514152731411206E-2</v>
      </c>
    </row>
    <row r="8" spans="2:10">
      <c r="B8" s="918" t="s">
        <v>697</v>
      </c>
      <c r="C8" s="918" t="s">
        <v>696</v>
      </c>
      <c r="D8" s="918"/>
      <c r="E8" s="920">
        <v>10096.425986842105</v>
      </c>
      <c r="F8" s="920">
        <v>6437.625</v>
      </c>
      <c r="G8" s="920">
        <v>435.07669220559848</v>
      </c>
      <c r="H8" s="921">
        <v>16392.177337960082</v>
      </c>
      <c r="I8" s="916"/>
      <c r="J8" s="922">
        <v>3.1514152731411206E-2</v>
      </c>
    </row>
    <row r="9" spans="2:10">
      <c r="B9" s="918" t="s">
        <v>698</v>
      </c>
      <c r="C9" s="918" t="s">
        <v>696</v>
      </c>
      <c r="D9" s="918"/>
      <c r="E9" s="920">
        <v>8974.6008771929828</v>
      </c>
      <c r="F9" s="920">
        <v>8583.5</v>
      </c>
      <c r="G9" s="920">
        <v>435.07669220559848</v>
      </c>
      <c r="H9" s="921">
        <v>17381.40953203903</v>
      </c>
      <c r="I9" s="916"/>
      <c r="J9" s="922">
        <v>2.1359981527164104E-2</v>
      </c>
    </row>
    <row r="10" spans="2:10">
      <c r="B10" s="918" t="s">
        <v>699</v>
      </c>
      <c r="C10" s="918" t="s">
        <v>700</v>
      </c>
      <c r="D10" s="918"/>
      <c r="E10" s="920">
        <v>26923.802631578947</v>
      </c>
      <c r="F10" s="920">
        <v>0</v>
      </c>
      <c r="G10" s="920">
        <v>0</v>
      </c>
      <c r="H10" s="921">
        <v>26008.393342105261</v>
      </c>
      <c r="I10" s="916"/>
      <c r="J10" s="922">
        <v>6.5685996056376428E-2</v>
      </c>
    </row>
    <row r="11" spans="2:10">
      <c r="B11" s="918" t="s">
        <v>701</v>
      </c>
      <c r="C11" s="918"/>
      <c r="D11" s="923"/>
      <c r="E11" s="920">
        <v>3365.4753289473683</v>
      </c>
      <c r="F11" s="920">
        <v>6437.625</v>
      </c>
      <c r="G11" s="920">
        <v>435.07669220559848</v>
      </c>
      <c r="H11" s="921">
        <v>9890.0790024337657</v>
      </c>
      <c r="I11" s="916"/>
      <c r="J11" s="922">
        <v>1.02176700801394E-2</v>
      </c>
    </row>
    <row r="12" spans="2:10">
      <c r="B12" s="918" t="s">
        <v>702</v>
      </c>
      <c r="C12" s="918" t="s">
        <v>703</v>
      </c>
      <c r="D12" s="918"/>
      <c r="E12" s="920">
        <v>6730.9506578947367</v>
      </c>
      <c r="F12" s="920">
        <v>6027.875</v>
      </c>
      <c r="G12" s="920">
        <v>435.07669220559848</v>
      </c>
      <c r="H12" s="921">
        <f>(E12+F12+G12)*0.966</f>
        <v>12745.309670196924</v>
      </c>
      <c r="I12" s="916"/>
      <c r="J12" s="922">
        <v>2.5296872879327702E-2</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99FD-B3DD-4F55-A739-F02146B6F034}">
  <sheetPr>
    <tabColor theme="0" tint="-0.34998626667073579"/>
  </sheetPr>
  <dimension ref="A1:BS43"/>
  <sheetViews>
    <sheetView topLeftCell="AJ1" workbookViewId="0">
      <selection activeCell="BK26" sqref="BK26"/>
    </sheetView>
  </sheetViews>
  <sheetFormatPr defaultColWidth="8" defaultRowHeight="12.5"/>
  <cols>
    <col min="1" max="1" width="16.83203125" style="252" customWidth="1"/>
    <col min="2" max="2" width="18.08203125" style="253" customWidth="1"/>
    <col min="3" max="6" width="13.75" style="253" customWidth="1"/>
    <col min="7" max="7" width="54" style="252" customWidth="1"/>
    <col min="8" max="8" width="8" style="252"/>
    <col min="9" max="11" width="13.75" style="253" customWidth="1"/>
    <col min="12" max="12" width="10.08203125" style="253" customWidth="1"/>
    <col min="13" max="15" width="8" style="252"/>
    <col min="16" max="16" width="8" style="253"/>
    <col min="17" max="17" width="8.83203125" style="252" bestFit="1" customWidth="1"/>
    <col min="18" max="31" width="8" style="252"/>
    <col min="32" max="32" width="9.08203125" style="252" customWidth="1"/>
    <col min="33" max="40" width="8" style="252"/>
    <col min="41" max="41" width="8.83203125" style="252" bestFit="1" customWidth="1"/>
    <col min="42" max="42" width="10.5" style="252" customWidth="1"/>
    <col min="43" max="58" width="8" style="252"/>
    <col min="59" max="61" width="8" style="253"/>
    <col min="62" max="62" width="8" style="252"/>
    <col min="63" max="63" width="11.5" style="253" customWidth="1"/>
    <col min="64" max="16384" width="8" style="252"/>
  </cols>
  <sheetData>
    <row r="1" spans="1:71">
      <c r="E1" s="856" t="s">
        <v>704</v>
      </c>
      <c r="N1" s="1122" t="s">
        <v>705</v>
      </c>
      <c r="P1" s="857" t="s">
        <v>706</v>
      </c>
      <c r="Q1" s="858">
        <v>484.95</v>
      </c>
    </row>
    <row r="2" spans="1:71" ht="28.5" customHeight="1">
      <c r="A2" s="254" t="s">
        <v>707</v>
      </c>
      <c r="D2" s="856"/>
      <c r="K2" s="252"/>
      <c r="L2" s="252"/>
      <c r="N2" s="1122"/>
      <c r="P2" s="857" t="s">
        <v>708</v>
      </c>
      <c r="Q2" s="858">
        <v>72.91</v>
      </c>
      <c r="V2" s="253" t="s">
        <v>709</v>
      </c>
      <c r="BQ2" s="909"/>
      <c r="BR2" s="909"/>
      <c r="BS2" s="909"/>
    </row>
    <row r="3" spans="1:71" ht="63">
      <c r="B3" s="255" t="s">
        <v>683</v>
      </c>
      <c r="C3" s="859" t="s">
        <v>710</v>
      </c>
      <c r="D3" s="859" t="s">
        <v>711</v>
      </c>
      <c r="E3" s="859" t="s">
        <v>712</v>
      </c>
      <c r="F3" s="255" t="s">
        <v>713</v>
      </c>
      <c r="G3" s="255" t="s">
        <v>163</v>
      </c>
      <c r="I3" s="256" t="s">
        <v>710</v>
      </c>
      <c r="J3" s="256" t="s">
        <v>711</v>
      </c>
      <c r="K3" s="256" t="s">
        <v>712</v>
      </c>
      <c r="L3" s="257" t="s">
        <v>714</v>
      </c>
      <c r="N3" s="1122"/>
      <c r="P3" s="258" t="s">
        <v>715</v>
      </c>
      <c r="Q3" s="255" t="s">
        <v>716</v>
      </c>
      <c r="R3" s="253" t="s">
        <v>717</v>
      </c>
      <c r="U3" s="253" t="s">
        <v>718</v>
      </c>
      <c r="V3" s="253" t="s">
        <v>719</v>
      </c>
      <c r="W3" s="253" t="s">
        <v>720</v>
      </c>
      <c r="X3" s="253" t="s">
        <v>77</v>
      </c>
      <c r="Y3" s="258" t="s">
        <v>721</v>
      </c>
      <c r="AA3" s="253" t="s">
        <v>722</v>
      </c>
      <c r="AB3" s="253" t="s">
        <v>723</v>
      </c>
      <c r="AC3" s="253" t="s">
        <v>720</v>
      </c>
      <c r="AD3" s="253" t="s">
        <v>77</v>
      </c>
      <c r="AE3" s="258" t="s">
        <v>721</v>
      </c>
      <c r="AF3" s="253"/>
      <c r="AG3" s="860" t="s">
        <v>724</v>
      </c>
      <c r="AH3" s="860" t="s">
        <v>725</v>
      </c>
      <c r="AI3" s="861" t="s">
        <v>720</v>
      </c>
      <c r="AJ3" s="861" t="s">
        <v>77</v>
      </c>
      <c r="AK3" s="860" t="s">
        <v>721</v>
      </c>
      <c r="AL3" s="862" t="s">
        <v>726</v>
      </c>
      <c r="AN3" s="258" t="s">
        <v>727</v>
      </c>
      <c r="AO3" s="259" t="s">
        <v>728</v>
      </c>
      <c r="AP3" s="253" t="s">
        <v>720</v>
      </c>
      <c r="AQ3" s="253" t="s">
        <v>77</v>
      </c>
      <c r="AR3" s="258" t="s">
        <v>721</v>
      </c>
      <c r="AS3" s="258" t="s">
        <v>729</v>
      </c>
      <c r="AT3" s="258" t="s">
        <v>730</v>
      </c>
      <c r="AX3" s="259" t="s">
        <v>731</v>
      </c>
      <c r="AY3" s="258" t="s">
        <v>732</v>
      </c>
      <c r="AZ3" s="260" t="s">
        <v>720</v>
      </c>
      <c r="BA3" s="253" t="s">
        <v>77</v>
      </c>
      <c r="BB3" s="258" t="s">
        <v>721</v>
      </c>
      <c r="BE3" s="258" t="s">
        <v>733</v>
      </c>
      <c r="BF3" s="863"/>
      <c r="BG3" s="864" t="s">
        <v>734</v>
      </c>
      <c r="BH3" s="864" t="s">
        <v>735</v>
      </c>
      <c r="BI3" s="864" t="s">
        <v>736</v>
      </c>
      <c r="BJ3" s="863"/>
      <c r="BK3" s="865" t="s">
        <v>737</v>
      </c>
      <c r="BM3" s="258" t="s">
        <v>738</v>
      </c>
      <c r="BN3" s="258" t="s">
        <v>739</v>
      </c>
      <c r="BO3" s="258" t="s">
        <v>740</v>
      </c>
      <c r="BQ3" s="258"/>
      <c r="BR3" s="258"/>
      <c r="BS3" s="258"/>
    </row>
    <row r="4" spans="1:71">
      <c r="Y4" s="253"/>
      <c r="AE4" s="253"/>
      <c r="AG4" s="866"/>
      <c r="AH4" s="866"/>
      <c r="AI4" s="866"/>
      <c r="AJ4" s="866"/>
      <c r="AK4" s="861"/>
      <c r="AL4" s="866"/>
      <c r="AN4" s="261"/>
      <c r="AO4" s="262"/>
      <c r="AP4" s="261"/>
      <c r="AQ4" s="261"/>
      <c r="AR4" s="261"/>
      <c r="AX4" s="262"/>
      <c r="AY4" s="261"/>
      <c r="AZ4" s="262"/>
      <c r="BA4" s="261"/>
      <c r="BB4" s="261"/>
      <c r="BE4" s="253"/>
      <c r="BK4" s="867"/>
      <c r="BQ4" s="253"/>
      <c r="BR4" s="253"/>
    </row>
    <row r="5" spans="1:71">
      <c r="A5" s="252" t="s">
        <v>695</v>
      </c>
      <c r="B5" s="253" t="s">
        <v>696</v>
      </c>
      <c r="C5" s="261">
        <v>6235.9162500000002</v>
      </c>
      <c r="D5" s="261">
        <v>8769.6246042576422</v>
      </c>
      <c r="E5" s="261">
        <v>353.33239604699571</v>
      </c>
      <c r="F5" s="263">
        <f>SUM(C5:E5)</f>
        <v>15358.873250304638</v>
      </c>
      <c r="G5" s="252" t="s">
        <v>741</v>
      </c>
      <c r="I5" s="261">
        <v>5389.75</v>
      </c>
      <c r="J5" s="261">
        <v>8314.3681768558963</v>
      </c>
      <c r="K5" s="261">
        <v>300.11777569980694</v>
      </c>
      <c r="L5" s="263">
        <v>14004.235952555704</v>
      </c>
      <c r="N5" s="261">
        <f>D5+E5-J5-K5</f>
        <v>508.47104774893415</v>
      </c>
      <c r="P5" s="261">
        <f>C5-I5</f>
        <v>846.16625000000022</v>
      </c>
      <c r="Q5" s="261">
        <f>$Q$1+$Q$2</f>
        <v>557.86</v>
      </c>
      <c r="R5" s="261">
        <f>P5-Q5</f>
        <v>288.3062500000002</v>
      </c>
      <c r="T5" s="264"/>
      <c r="U5" s="261">
        <v>5836.8826874999995</v>
      </c>
      <c r="V5" s="261">
        <v>8769.6246042576422</v>
      </c>
      <c r="W5" s="261">
        <v>353.33239604699571</v>
      </c>
      <c r="X5" s="263">
        <f>SUM(U5:W5)</f>
        <v>14959.839687804637</v>
      </c>
      <c r="Y5" s="261">
        <f>X5-L5</f>
        <v>955.60373524893294</v>
      </c>
      <c r="AA5" s="261">
        <v>6235.9162500000002</v>
      </c>
      <c r="AB5" s="261">
        <v>8291.6148471615725</v>
      </c>
      <c r="AC5" s="261">
        <v>353.33239604699571</v>
      </c>
      <c r="AD5" s="263">
        <f>SUM(AA5:AC5)</f>
        <v>14880.863493208568</v>
      </c>
      <c r="AE5" s="261">
        <f>AD5-L5</f>
        <v>876.6275406528639</v>
      </c>
      <c r="AG5" s="868">
        <v>6156.1095375000004</v>
      </c>
      <c r="AH5" s="868">
        <v>8674.097652838429</v>
      </c>
      <c r="AI5" s="868">
        <v>353.33239604699571</v>
      </c>
      <c r="AJ5" s="868">
        <f>SUM(AG5:AI5)</f>
        <v>15183.539586385425</v>
      </c>
      <c r="AK5" s="868">
        <f>AJ5-L5</f>
        <v>1179.3036338297206</v>
      </c>
      <c r="AL5" s="868">
        <f>AJ5-F5</f>
        <v>-175.333663919213</v>
      </c>
      <c r="AM5" s="264">
        <f>AN5-I5</f>
        <v>686.55282499999976</v>
      </c>
      <c r="AN5" s="261">
        <v>6076.3028249999998</v>
      </c>
      <c r="AO5" s="262">
        <v>8578.5707014192139</v>
      </c>
      <c r="AP5" s="261">
        <f>K5</f>
        <v>300.11777569980694</v>
      </c>
      <c r="AQ5" s="261">
        <f>SUM(AN5:AP5)</f>
        <v>14954.991302119022</v>
      </c>
      <c r="AR5" s="261">
        <f>AQ5-L5</f>
        <v>950.7553495633183</v>
      </c>
      <c r="AS5" s="265">
        <f>AR5/L5</f>
        <v>6.7890554885274568E-2</v>
      </c>
      <c r="AT5" s="265">
        <f>(AO5-J5)/L5</f>
        <v>1.8865900678794404E-2</v>
      </c>
      <c r="AU5" s="261">
        <f>AO5-J5</f>
        <v>264.20252456331764</v>
      </c>
      <c r="AV5" s="264">
        <f>AO5-J5</f>
        <v>264.20252456331764</v>
      </c>
      <c r="AX5" s="262">
        <v>6120.2340168749997</v>
      </c>
      <c r="AY5" s="261">
        <v>8626.1466771288215</v>
      </c>
      <c r="AZ5" s="262">
        <f>K5</f>
        <v>300.11777569980694</v>
      </c>
      <c r="BA5" s="261">
        <f>SUM(AX5:AZ5)</f>
        <v>15046.498469703629</v>
      </c>
      <c r="BB5" s="261">
        <f>BA5-V5</f>
        <v>6276.8738654459867</v>
      </c>
      <c r="BE5" s="261">
        <f>AX5+AO5+AZ5</f>
        <v>14998.922493994021</v>
      </c>
      <c r="BG5" s="869">
        <v>8885.4271154475973</v>
      </c>
      <c r="BH5" s="261">
        <v>6242.9736972125002</v>
      </c>
      <c r="BI5" s="261">
        <f>AZ5</f>
        <v>300.11777569980694</v>
      </c>
      <c r="BK5" s="870">
        <f>SUM(BG5:BI5)*1.03</f>
        <v>15891.374146010701</v>
      </c>
      <c r="BL5" s="871">
        <f>BM5/BE5</f>
        <v>5.9501050983765125E-2</v>
      </c>
      <c r="BM5" s="261">
        <f>BK5-BE5</f>
        <v>892.45165201667987</v>
      </c>
      <c r="BN5" s="261">
        <v>299.47109436588289</v>
      </c>
      <c r="BO5" s="261">
        <f>BM5-BN5</f>
        <v>592.98055765079698</v>
      </c>
      <c r="BQ5" s="261"/>
      <c r="BR5" s="261"/>
      <c r="BS5" s="261"/>
    </row>
    <row r="6" spans="1:71">
      <c r="C6" s="261"/>
      <c r="F6" s="261"/>
      <c r="I6" s="261"/>
      <c r="L6" s="261"/>
      <c r="N6" s="261"/>
      <c r="P6" s="261"/>
      <c r="Q6" s="261"/>
      <c r="R6" s="261"/>
      <c r="T6" s="264"/>
      <c r="U6" s="261"/>
      <c r="V6" s="253"/>
      <c r="W6" s="253"/>
      <c r="X6" s="261"/>
      <c r="Y6" s="261"/>
      <c r="AA6" s="261"/>
      <c r="AB6" s="253"/>
      <c r="AC6" s="253"/>
      <c r="AD6" s="261"/>
      <c r="AE6" s="261"/>
      <c r="AG6" s="868"/>
      <c r="AH6" s="861"/>
      <c r="AI6" s="861"/>
      <c r="AJ6" s="868"/>
      <c r="AK6" s="868"/>
      <c r="AL6" s="868"/>
      <c r="AM6" s="264">
        <f t="shared" ref="AM6:AM17" si="0">AN6-I6</f>
        <v>0</v>
      </c>
      <c r="AN6" s="261"/>
      <c r="AO6" s="260"/>
      <c r="AP6" s="261"/>
      <c r="AQ6" s="261"/>
      <c r="AR6" s="261"/>
      <c r="AS6" s="265"/>
      <c r="AT6" s="265"/>
      <c r="AU6" s="261"/>
      <c r="AV6" s="264">
        <f t="shared" ref="AV6:AV24" si="1">AO6-J6</f>
        <v>0</v>
      </c>
      <c r="AX6" s="262"/>
      <c r="AY6" s="253"/>
      <c r="AZ6" s="262"/>
      <c r="BA6" s="261"/>
      <c r="BB6" s="261"/>
      <c r="BE6" s="261"/>
      <c r="BK6" s="867"/>
      <c r="BL6" s="871"/>
      <c r="BO6" s="261"/>
      <c r="BQ6" s="261"/>
      <c r="BR6" s="261"/>
      <c r="BS6" s="261"/>
    </row>
    <row r="7" spans="1:71">
      <c r="C7" s="261"/>
      <c r="D7" s="261"/>
      <c r="E7" s="261"/>
      <c r="F7" s="261"/>
      <c r="I7" s="261"/>
      <c r="J7" s="261"/>
      <c r="K7" s="261"/>
      <c r="L7" s="261"/>
      <c r="N7" s="261"/>
      <c r="P7" s="261"/>
      <c r="Q7" s="261"/>
      <c r="R7" s="261"/>
      <c r="T7" s="264"/>
      <c r="U7" s="261"/>
      <c r="V7" s="261"/>
      <c r="W7" s="261"/>
      <c r="X7" s="261"/>
      <c r="Y7" s="261"/>
      <c r="AA7" s="261"/>
      <c r="AB7" s="261"/>
      <c r="AC7" s="261"/>
      <c r="AD7" s="261"/>
      <c r="AE7" s="261"/>
      <c r="AG7" s="868"/>
      <c r="AH7" s="868"/>
      <c r="AI7" s="868"/>
      <c r="AJ7" s="868"/>
      <c r="AK7" s="868"/>
      <c r="AL7" s="868"/>
      <c r="AM7" s="264">
        <f t="shared" si="0"/>
        <v>0</v>
      </c>
      <c r="AN7" s="261"/>
      <c r="AO7" s="262"/>
      <c r="AP7" s="261"/>
      <c r="AQ7" s="261"/>
      <c r="AR7" s="261"/>
      <c r="AS7" s="265"/>
      <c r="AT7" s="265"/>
      <c r="AU7" s="261"/>
      <c r="AV7" s="264">
        <f t="shared" si="1"/>
        <v>0</v>
      </c>
      <c r="AX7" s="262"/>
      <c r="AY7" s="261"/>
      <c r="AZ7" s="262"/>
      <c r="BA7" s="261"/>
      <c r="BB7" s="261"/>
      <c r="BE7" s="261"/>
      <c r="BK7" s="867"/>
      <c r="BL7" s="871"/>
      <c r="BO7" s="261"/>
      <c r="BQ7" s="261"/>
      <c r="BR7" s="261"/>
      <c r="BS7" s="261"/>
    </row>
    <row r="8" spans="1:71">
      <c r="A8" s="252" t="s">
        <v>691</v>
      </c>
      <c r="B8" s="253" t="s">
        <v>692</v>
      </c>
      <c r="C8" s="261">
        <v>4988.7330000000002</v>
      </c>
      <c r="D8" s="261">
        <v>2338.5665611353716</v>
      </c>
      <c r="E8" s="261">
        <v>353.33239604699571</v>
      </c>
      <c r="F8" s="263">
        <f>SUM(C8:E8)</f>
        <v>7680.6319571823678</v>
      </c>
      <c r="G8" s="252" t="s">
        <v>742</v>
      </c>
      <c r="I8" s="261">
        <v>4311.8</v>
      </c>
      <c r="J8" s="261">
        <v>2217.1648471615722</v>
      </c>
      <c r="K8" s="261">
        <v>300.11777569980694</v>
      </c>
      <c r="L8" s="263">
        <v>6829.0826228613796</v>
      </c>
      <c r="N8" s="261">
        <f>D8+E8-J8-K8</f>
        <v>174.61633432098807</v>
      </c>
      <c r="P8" s="261">
        <f>C8-I8</f>
        <v>676.93299999999999</v>
      </c>
      <c r="Q8" s="261">
        <f>$Q$1+$Q$2</f>
        <v>557.86</v>
      </c>
      <c r="R8" s="261">
        <f>P8-Q8</f>
        <v>119.07299999999998</v>
      </c>
      <c r="T8" s="264"/>
      <c r="U8" s="261">
        <v>4669.5061499999993</v>
      </c>
      <c r="V8" s="261">
        <v>2338.5665611353716</v>
      </c>
      <c r="W8" s="261">
        <v>353.33239604699571</v>
      </c>
      <c r="X8" s="263">
        <f>SUM(U8:W8)</f>
        <v>7361.4051071823669</v>
      </c>
      <c r="Y8" s="261">
        <f>X8-L8</f>
        <v>532.32248432098731</v>
      </c>
      <c r="AA8" s="261">
        <v>4988.7330000000002</v>
      </c>
      <c r="AB8" s="261">
        <v>2211.097292576419</v>
      </c>
      <c r="AC8" s="261">
        <v>353.33239604699571</v>
      </c>
      <c r="AD8" s="263">
        <f>SUM(AA8:AC8)</f>
        <v>7553.1626886234153</v>
      </c>
      <c r="AE8" s="261">
        <f>AD8-L8</f>
        <v>724.0800657620357</v>
      </c>
      <c r="AG8" s="868">
        <v>4924.8876300000002</v>
      </c>
      <c r="AH8" s="868">
        <v>2313.092707423581</v>
      </c>
      <c r="AI8" s="868">
        <v>353.33239604699571</v>
      </c>
      <c r="AJ8" s="868">
        <f>SUM(AG8:AI8)</f>
        <v>7591.3127334705778</v>
      </c>
      <c r="AK8" s="868">
        <f t="shared" ref="AK8:AK17" si="2">AJ8-L8</f>
        <v>762.23011060919816</v>
      </c>
      <c r="AL8" s="868">
        <f t="shared" ref="AL8:AL17" si="3">AJ8-F8</f>
        <v>-89.319223711790073</v>
      </c>
      <c r="AM8" s="264">
        <f t="shared" si="0"/>
        <v>549.24225999999999</v>
      </c>
      <c r="AN8" s="261">
        <v>4861.0422600000002</v>
      </c>
      <c r="AO8" s="262">
        <v>2287.6188537117905</v>
      </c>
      <c r="AP8" s="261">
        <f t="shared" ref="AP8:AP22" si="4">K8</f>
        <v>300.11777569980694</v>
      </c>
      <c r="AQ8" s="261">
        <f t="shared" ref="AQ8:AQ24" si="5">SUM(AN8:AP8)</f>
        <v>7448.7788894115974</v>
      </c>
      <c r="AR8" s="261">
        <f t="shared" ref="AR8:AR17" si="6">AQ8-L8</f>
        <v>619.69626655021784</v>
      </c>
      <c r="AS8" s="265">
        <f t="shared" ref="AS8:AS17" si="7">AR8/L8</f>
        <v>9.0743706112983838E-2</v>
      </c>
      <c r="AT8" s="265">
        <f t="shared" ref="AT8:AT17" si="8">(AO8-J8)/L8</f>
        <v>1.0316760016105668E-2</v>
      </c>
      <c r="AU8" s="261">
        <f t="shared" ref="AU8:AU22" si="9">AO8-J8</f>
        <v>70.45400655021831</v>
      </c>
      <c r="AV8" s="264">
        <f t="shared" si="1"/>
        <v>70.45400655021831</v>
      </c>
      <c r="AX8" s="262">
        <v>4896.1872134999994</v>
      </c>
      <c r="AY8" s="261">
        <v>2300.3057805676858</v>
      </c>
      <c r="AZ8" s="262">
        <f t="shared" ref="AZ8:AZ28" si="10">K8</f>
        <v>300.11777569980694</v>
      </c>
      <c r="BA8" s="261">
        <f t="shared" ref="BA8" si="11">SUM(AX8:AZ8)</f>
        <v>7496.6107697674915</v>
      </c>
      <c r="BB8" s="261">
        <f t="shared" ref="BB8" si="12">BA8-V8</f>
        <v>5158.04420863212</v>
      </c>
      <c r="BE8" s="261">
        <f t="shared" ref="BE8:BE24" si="13">AX8+AO8+AZ8</f>
        <v>7483.9238429115967</v>
      </c>
      <c r="BG8" s="869">
        <v>2369.447230786026</v>
      </c>
      <c r="BH8" s="261">
        <v>4994.3789577699999</v>
      </c>
      <c r="BI8" s="261">
        <f>AZ8</f>
        <v>300.11777569980694</v>
      </c>
      <c r="BK8" s="870">
        <f>SUM(BG8:BI8)*1.03</f>
        <v>7893.8622831835082</v>
      </c>
      <c r="BL8" s="871">
        <f t="shared" ref="BL8:BL30" si="14">BM8/BE8</f>
        <v>5.4775870101909839E-2</v>
      </c>
      <c r="BM8" s="261">
        <f>BK8-BE8</f>
        <v>409.93844027191153</v>
      </c>
      <c r="BN8" s="261">
        <v>145.32012134423621</v>
      </c>
      <c r="BO8" s="261">
        <f t="shared" ref="BO8:BO30" si="15">BM8-BN8</f>
        <v>264.61831892767532</v>
      </c>
      <c r="BQ8" s="261"/>
      <c r="BR8" s="261"/>
      <c r="BS8" s="261"/>
    </row>
    <row r="9" spans="1:71">
      <c r="C9" s="261"/>
      <c r="D9" s="261"/>
      <c r="E9" s="261"/>
      <c r="F9" s="261"/>
      <c r="I9" s="261"/>
      <c r="J9" s="261"/>
      <c r="K9" s="261"/>
      <c r="L9" s="261"/>
      <c r="N9" s="261"/>
      <c r="P9" s="261"/>
      <c r="Q9" s="261"/>
      <c r="R9" s="261"/>
      <c r="T9" s="264"/>
      <c r="U9" s="261"/>
      <c r="V9" s="261"/>
      <c r="W9" s="261"/>
      <c r="X9" s="261"/>
      <c r="Y9" s="261"/>
      <c r="AA9" s="261"/>
      <c r="AB9" s="261"/>
      <c r="AC9" s="261"/>
      <c r="AD9" s="261"/>
      <c r="AE9" s="261"/>
      <c r="AG9" s="868"/>
      <c r="AH9" s="868"/>
      <c r="AI9" s="868"/>
      <c r="AJ9" s="868"/>
      <c r="AK9" s="868"/>
      <c r="AL9" s="868"/>
      <c r="AM9" s="264">
        <f t="shared" si="0"/>
        <v>0</v>
      </c>
      <c r="AN9" s="261"/>
      <c r="AO9" s="262"/>
      <c r="AP9" s="261"/>
      <c r="AQ9" s="261"/>
      <c r="AR9" s="261"/>
      <c r="AS9" s="265"/>
      <c r="AT9" s="265"/>
      <c r="AU9" s="261"/>
      <c r="AV9" s="264">
        <f t="shared" si="1"/>
        <v>0</v>
      </c>
      <c r="AX9" s="262"/>
      <c r="AY9" s="261"/>
      <c r="AZ9" s="262"/>
      <c r="BA9" s="261"/>
      <c r="BB9" s="261"/>
      <c r="BE9" s="261"/>
      <c r="BK9" s="867"/>
      <c r="BL9" s="871"/>
      <c r="BO9" s="261"/>
      <c r="BQ9" s="261"/>
      <c r="BR9" s="261"/>
      <c r="BS9" s="261"/>
    </row>
    <row r="10" spans="1:71">
      <c r="C10" s="261"/>
      <c r="D10" s="261"/>
      <c r="E10" s="261"/>
      <c r="F10" s="261"/>
      <c r="I10" s="261"/>
      <c r="J10" s="261"/>
      <c r="K10" s="261"/>
      <c r="L10" s="261"/>
      <c r="N10" s="261"/>
      <c r="P10" s="261"/>
      <c r="Q10" s="261"/>
      <c r="R10" s="261"/>
      <c r="T10" s="264"/>
      <c r="U10" s="261"/>
      <c r="V10" s="261"/>
      <c r="W10" s="261"/>
      <c r="X10" s="261"/>
      <c r="Y10" s="261"/>
      <c r="AA10" s="261"/>
      <c r="AB10" s="261"/>
      <c r="AC10" s="261"/>
      <c r="AD10" s="261"/>
      <c r="AE10" s="261"/>
      <c r="AG10" s="868"/>
      <c r="AH10" s="868"/>
      <c r="AI10" s="868"/>
      <c r="AJ10" s="868"/>
      <c r="AK10" s="868"/>
      <c r="AL10" s="868"/>
      <c r="AM10" s="264">
        <f t="shared" si="0"/>
        <v>0</v>
      </c>
      <c r="AN10" s="261"/>
      <c r="AO10" s="262"/>
      <c r="AP10" s="261"/>
      <c r="AQ10" s="261"/>
      <c r="AR10" s="261"/>
      <c r="AS10" s="265"/>
      <c r="AT10" s="265"/>
      <c r="AU10" s="261"/>
      <c r="AV10" s="264">
        <f t="shared" si="1"/>
        <v>0</v>
      </c>
      <c r="AX10" s="262"/>
      <c r="AY10" s="261"/>
      <c r="AZ10" s="262"/>
      <c r="BA10" s="261"/>
      <c r="BB10" s="261"/>
      <c r="BE10" s="261"/>
      <c r="BK10" s="867"/>
      <c r="BL10" s="871"/>
      <c r="BO10" s="261"/>
      <c r="BQ10" s="261"/>
      <c r="BR10" s="261"/>
      <c r="BS10" s="261"/>
    </row>
    <row r="11" spans="1:71">
      <c r="A11" s="252" t="s">
        <v>689</v>
      </c>
      <c r="B11" s="253" t="s">
        <v>690</v>
      </c>
      <c r="C11" s="261">
        <v>4157.2775000000001</v>
      </c>
      <c r="D11" s="261">
        <v>1948.8054676128095</v>
      </c>
      <c r="E11" s="261">
        <v>353.33239604699571</v>
      </c>
      <c r="F11" s="263">
        <f>SUM(C11:E11)</f>
        <v>6459.4153636598057</v>
      </c>
      <c r="G11" s="252" t="s">
        <v>743</v>
      </c>
      <c r="H11" s="264"/>
      <c r="I11" s="261">
        <v>3593.1666666666665</v>
      </c>
      <c r="J11" s="261">
        <v>1847.6373726346435</v>
      </c>
      <c r="K11" s="261">
        <v>300.11777569980694</v>
      </c>
      <c r="L11" s="263">
        <v>5740.9218150011166</v>
      </c>
      <c r="N11" s="261">
        <f>D11+E11-J11-K11</f>
        <v>154.3827153253547</v>
      </c>
      <c r="P11" s="261">
        <f>C11-I11</f>
        <v>564.11083333333363</v>
      </c>
      <c r="Q11" s="261">
        <f>$Q$1+$Q$2</f>
        <v>557.86</v>
      </c>
      <c r="R11" s="261">
        <f>P11-Q11</f>
        <v>6.2508333333336168</v>
      </c>
      <c r="T11" s="264"/>
      <c r="U11" s="261">
        <v>3891.2551249999997</v>
      </c>
      <c r="V11" s="261">
        <v>1948.8054676128095</v>
      </c>
      <c r="W11" s="261">
        <v>353.33239604699571</v>
      </c>
      <c r="X11" s="263">
        <f>SUM(U11:W11)</f>
        <v>6193.3929886598053</v>
      </c>
      <c r="Y11" s="261">
        <f>X11-L11</f>
        <v>452.47117365868871</v>
      </c>
      <c r="AA11" s="261">
        <v>4157.2775000000001</v>
      </c>
      <c r="AB11" s="261">
        <v>1842.581077147016</v>
      </c>
      <c r="AC11" s="261">
        <v>353.33239604699571</v>
      </c>
      <c r="AD11" s="263">
        <f>SUM(AA11:AC11)</f>
        <v>6353.1909731940123</v>
      </c>
      <c r="AE11" s="261">
        <f>AD11-L11</f>
        <v>612.2691581928957</v>
      </c>
      <c r="AG11" s="868">
        <v>4104.0730250000006</v>
      </c>
      <c r="AH11" s="868">
        <v>1927.5772561863175</v>
      </c>
      <c r="AI11" s="868">
        <v>353.33239604699571</v>
      </c>
      <c r="AJ11" s="868">
        <f>SUM(AG11:AI11)</f>
        <v>6384.9826772333145</v>
      </c>
      <c r="AK11" s="868">
        <f t="shared" si="2"/>
        <v>644.06086223219791</v>
      </c>
      <c r="AL11" s="868">
        <f t="shared" si="3"/>
        <v>-74.432686426491273</v>
      </c>
      <c r="AM11" s="264">
        <f t="shared" si="0"/>
        <v>457.70188333333317</v>
      </c>
      <c r="AN11" s="261">
        <v>4050.8685499999997</v>
      </c>
      <c r="AO11" s="262">
        <v>1906.3490447598253</v>
      </c>
      <c r="AP11" s="261">
        <f t="shared" si="4"/>
        <v>300.11777569980694</v>
      </c>
      <c r="AQ11" s="261">
        <f t="shared" si="5"/>
        <v>6257.335370459632</v>
      </c>
      <c r="AR11" s="261">
        <f t="shared" si="6"/>
        <v>516.41355545851548</v>
      </c>
      <c r="AS11" s="265">
        <f t="shared" si="7"/>
        <v>8.9953072363591319E-2</v>
      </c>
      <c r="AT11" s="265">
        <f t="shared" si="8"/>
        <v>1.0226871923558922E-2</v>
      </c>
      <c r="AU11" s="261">
        <f t="shared" si="9"/>
        <v>58.711672125181849</v>
      </c>
      <c r="AV11" s="264">
        <f t="shared" si="1"/>
        <v>58.711672125181849</v>
      </c>
      <c r="AX11" s="262">
        <v>4080.1560112499997</v>
      </c>
      <c r="AY11" s="261">
        <v>1916.9214838064047</v>
      </c>
      <c r="AZ11" s="262">
        <f t="shared" si="10"/>
        <v>300.11777569980694</v>
      </c>
      <c r="BA11" s="261">
        <f t="shared" ref="BA11" si="16">SUM(AX11:AZ11)</f>
        <v>6297.1952707562114</v>
      </c>
      <c r="BB11" s="261">
        <f t="shared" ref="BB11" si="17">BA11-V11</f>
        <v>4348.3898031434019</v>
      </c>
      <c r="BE11" s="261">
        <f t="shared" si="13"/>
        <v>6286.622831709632</v>
      </c>
      <c r="BG11" s="869">
        <v>1974.5393589883552</v>
      </c>
      <c r="BH11" s="261">
        <v>4161.9824648083331</v>
      </c>
      <c r="BI11" s="261">
        <f>AZ11</f>
        <v>300.11777569980694</v>
      </c>
      <c r="BK11" s="870">
        <f>SUM(BG11:BI11)*1.03</f>
        <v>6629.7387874813903</v>
      </c>
      <c r="BL11" s="871">
        <f t="shared" si="14"/>
        <v>5.4578740439316091E-2</v>
      </c>
      <c r="BM11" s="261">
        <f>BK11-BE11</f>
        <v>343.11595577175831</v>
      </c>
      <c r="BN11" s="261">
        <v>121.10010112019609</v>
      </c>
      <c r="BO11" s="261">
        <f t="shared" si="15"/>
        <v>222.01585465156222</v>
      </c>
      <c r="BQ11" s="261"/>
      <c r="BR11" s="261"/>
      <c r="BS11" s="261"/>
    </row>
    <row r="12" spans="1:71">
      <c r="C12" s="261"/>
      <c r="D12" s="261"/>
      <c r="E12" s="261"/>
      <c r="F12" s="261"/>
      <c r="I12" s="261"/>
      <c r="J12" s="261"/>
      <c r="K12" s="261"/>
      <c r="L12" s="261"/>
      <c r="N12" s="261"/>
      <c r="P12" s="261"/>
      <c r="Q12" s="261"/>
      <c r="R12" s="261"/>
      <c r="T12" s="264"/>
      <c r="U12" s="261"/>
      <c r="V12" s="261"/>
      <c r="W12" s="261"/>
      <c r="X12" s="261"/>
      <c r="Y12" s="261"/>
      <c r="AA12" s="261"/>
      <c r="AB12" s="261"/>
      <c r="AC12" s="261"/>
      <c r="AD12" s="261"/>
      <c r="AE12" s="261"/>
      <c r="AG12" s="868"/>
      <c r="AH12" s="868"/>
      <c r="AI12" s="868"/>
      <c r="AJ12" s="868"/>
      <c r="AK12" s="868"/>
      <c r="AL12" s="868"/>
      <c r="AM12" s="264">
        <f t="shared" si="0"/>
        <v>0</v>
      </c>
      <c r="AN12" s="261"/>
      <c r="AO12" s="262"/>
      <c r="AP12" s="261"/>
      <c r="AQ12" s="261"/>
      <c r="AR12" s="261"/>
      <c r="AS12" s="265"/>
      <c r="AT12" s="265"/>
      <c r="AU12" s="261"/>
      <c r="AV12" s="264">
        <f t="shared" si="1"/>
        <v>0</v>
      </c>
      <c r="AX12" s="262"/>
      <c r="AY12" s="261"/>
      <c r="AZ12" s="262"/>
      <c r="BA12" s="261"/>
      <c r="BB12" s="261"/>
      <c r="BE12" s="261"/>
      <c r="BK12" s="867"/>
      <c r="BL12" s="871"/>
      <c r="BO12" s="261"/>
      <c r="BQ12" s="261"/>
      <c r="BR12" s="261"/>
      <c r="BS12" s="261"/>
    </row>
    <row r="13" spans="1:71">
      <c r="C13" s="261"/>
      <c r="D13" s="261"/>
      <c r="E13" s="261"/>
      <c r="F13" s="261"/>
      <c r="I13" s="261"/>
      <c r="J13" s="261"/>
      <c r="K13" s="261"/>
      <c r="L13" s="261"/>
      <c r="N13" s="261"/>
      <c r="P13" s="261"/>
      <c r="Q13" s="261"/>
      <c r="R13" s="261"/>
      <c r="T13" s="264"/>
      <c r="U13" s="261"/>
      <c r="V13" s="261"/>
      <c r="W13" s="261"/>
      <c r="X13" s="261"/>
      <c r="Y13" s="261"/>
      <c r="AA13" s="261"/>
      <c r="AB13" s="261"/>
      <c r="AC13" s="261"/>
      <c r="AD13" s="261"/>
      <c r="AE13" s="261"/>
      <c r="AG13" s="868"/>
      <c r="AH13" s="868"/>
      <c r="AI13" s="868"/>
      <c r="AJ13" s="868"/>
      <c r="AK13" s="868"/>
      <c r="AL13" s="868"/>
      <c r="AM13" s="264">
        <f t="shared" si="0"/>
        <v>0</v>
      </c>
      <c r="AN13" s="261"/>
      <c r="AO13" s="262"/>
      <c r="AP13" s="261"/>
      <c r="AQ13" s="261"/>
      <c r="AR13" s="261"/>
      <c r="AS13" s="265"/>
      <c r="AT13" s="265"/>
      <c r="AU13" s="261"/>
      <c r="AV13" s="264">
        <f t="shared" si="1"/>
        <v>0</v>
      </c>
      <c r="AX13" s="262"/>
      <c r="AY13" s="261"/>
      <c r="AZ13" s="262"/>
      <c r="BA13" s="261"/>
      <c r="BB13" s="261"/>
      <c r="BE13" s="261"/>
      <c r="BK13" s="867"/>
      <c r="BL13" s="871"/>
      <c r="BO13" s="261"/>
      <c r="BQ13" s="261"/>
      <c r="BR13" s="261"/>
      <c r="BS13" s="261"/>
    </row>
    <row r="14" spans="1:71">
      <c r="A14" s="252" t="s">
        <v>697</v>
      </c>
      <c r="B14" s="253" t="s">
        <v>696</v>
      </c>
      <c r="C14" s="261">
        <v>6235.9162500000002</v>
      </c>
      <c r="D14" s="261">
        <v>8769.6246042576422</v>
      </c>
      <c r="E14" s="261">
        <v>353.33239604699571</v>
      </c>
      <c r="F14" s="263">
        <f>SUM(C14:E14)</f>
        <v>15358.873250304638</v>
      </c>
      <c r="G14" s="252" t="s">
        <v>741</v>
      </c>
      <c r="I14" s="261">
        <v>5389.75</v>
      </c>
      <c r="J14" s="261">
        <v>8314.3681768558963</v>
      </c>
      <c r="K14" s="261">
        <v>300.11777569980694</v>
      </c>
      <c r="L14" s="263">
        <v>14004.235952555704</v>
      </c>
      <c r="N14" s="261">
        <f>D14+E14-J14-K14</f>
        <v>508.47104774893415</v>
      </c>
      <c r="P14" s="261">
        <f>C14-I14</f>
        <v>846.16625000000022</v>
      </c>
      <c r="Q14" s="261">
        <f>$Q$1+$Q$2</f>
        <v>557.86</v>
      </c>
      <c r="R14" s="261">
        <f>P14-Q14</f>
        <v>288.3062500000002</v>
      </c>
      <c r="T14" s="264"/>
      <c r="U14" s="261">
        <v>5836.8826874999995</v>
      </c>
      <c r="V14" s="261">
        <v>8769.6246042576422</v>
      </c>
      <c r="W14" s="261">
        <v>353.33239604699571</v>
      </c>
      <c r="X14" s="263">
        <f>SUM(U14:W14)</f>
        <v>14959.839687804637</v>
      </c>
      <c r="Y14" s="261">
        <f>X14-L14</f>
        <v>955.60373524893294</v>
      </c>
      <c r="AA14" s="261">
        <v>6235.9162500000002</v>
      </c>
      <c r="AB14" s="261">
        <v>8291.6148471615725</v>
      </c>
      <c r="AC14" s="261">
        <v>353.33239604699571</v>
      </c>
      <c r="AD14" s="263">
        <f>SUM(AA14:AC14)</f>
        <v>14880.863493208568</v>
      </c>
      <c r="AE14" s="261">
        <f>AD14-L14</f>
        <v>876.6275406528639</v>
      </c>
      <c r="AG14" s="868">
        <v>6156.1095375000004</v>
      </c>
      <c r="AH14" s="868">
        <v>8674.097652838429</v>
      </c>
      <c r="AI14" s="868">
        <v>353.33239604699571</v>
      </c>
      <c r="AJ14" s="868">
        <f>SUM(AG14:AI14)</f>
        <v>15183.539586385425</v>
      </c>
      <c r="AK14" s="868">
        <f t="shared" si="2"/>
        <v>1179.3036338297206</v>
      </c>
      <c r="AL14" s="868">
        <f t="shared" si="3"/>
        <v>-175.333663919213</v>
      </c>
      <c r="AM14" s="264">
        <f t="shared" si="0"/>
        <v>686.55282499999976</v>
      </c>
      <c r="AN14" s="261">
        <v>6076.3028249999998</v>
      </c>
      <c r="AO14" s="262">
        <v>8578.5707014192139</v>
      </c>
      <c r="AP14" s="261">
        <f t="shared" si="4"/>
        <v>300.11777569980694</v>
      </c>
      <c r="AQ14" s="261">
        <f t="shared" si="5"/>
        <v>14954.991302119022</v>
      </c>
      <c r="AR14" s="261">
        <f t="shared" si="6"/>
        <v>950.7553495633183</v>
      </c>
      <c r="AS14" s="265">
        <f t="shared" si="7"/>
        <v>6.7890554885274568E-2</v>
      </c>
      <c r="AT14" s="265">
        <f t="shared" si="8"/>
        <v>1.8865900678794404E-2</v>
      </c>
      <c r="AU14" s="261">
        <f t="shared" si="9"/>
        <v>264.20252456331764</v>
      </c>
      <c r="AV14" s="264">
        <f t="shared" si="1"/>
        <v>264.20252456331764</v>
      </c>
      <c r="AX14" s="262">
        <v>6120.2340168749997</v>
      </c>
      <c r="AY14" s="261">
        <v>8626.1466771288215</v>
      </c>
      <c r="AZ14" s="262">
        <f t="shared" si="10"/>
        <v>300.11777569980694</v>
      </c>
      <c r="BA14" s="261">
        <f t="shared" ref="BA14" si="18">SUM(AX14:AZ14)</f>
        <v>15046.498469703629</v>
      </c>
      <c r="BB14" s="261">
        <f t="shared" ref="BB14" si="19">BA14-V14</f>
        <v>6276.8738654459867</v>
      </c>
      <c r="BE14" s="261">
        <f t="shared" si="13"/>
        <v>14998.922493994021</v>
      </c>
      <c r="BG14" s="869">
        <v>8885.4271154475973</v>
      </c>
      <c r="BH14" s="261">
        <v>6242.9736972125002</v>
      </c>
      <c r="BI14" s="261">
        <f>AZ14</f>
        <v>300.11777569980694</v>
      </c>
      <c r="BK14" s="870">
        <f>SUM(BG14:BI14)*1.03</f>
        <v>15891.374146010701</v>
      </c>
      <c r="BL14" s="871">
        <f t="shared" si="14"/>
        <v>5.9501050983765125E-2</v>
      </c>
      <c r="BM14" s="261">
        <f>BK14-BE14</f>
        <v>892.45165201667987</v>
      </c>
      <c r="BN14" s="261">
        <v>299.47109436588289</v>
      </c>
      <c r="BO14" s="261">
        <f t="shared" si="15"/>
        <v>592.98055765079698</v>
      </c>
      <c r="BQ14" s="261"/>
      <c r="BR14" s="261"/>
      <c r="BS14" s="261"/>
    </row>
    <row r="15" spans="1:71">
      <c r="C15" s="261"/>
      <c r="D15" s="261"/>
      <c r="E15" s="261"/>
      <c r="F15" s="261"/>
      <c r="I15" s="261"/>
      <c r="J15" s="261"/>
      <c r="K15" s="261"/>
      <c r="L15" s="261"/>
      <c r="N15" s="261"/>
      <c r="P15" s="261"/>
      <c r="Q15" s="261"/>
      <c r="R15" s="261"/>
      <c r="T15" s="264"/>
      <c r="U15" s="261"/>
      <c r="V15" s="261"/>
      <c r="W15" s="261"/>
      <c r="X15" s="261"/>
      <c r="Y15" s="261"/>
      <c r="AA15" s="261"/>
      <c r="AB15" s="261"/>
      <c r="AC15" s="261"/>
      <c r="AD15" s="261"/>
      <c r="AE15" s="261"/>
      <c r="AG15" s="868"/>
      <c r="AH15" s="868"/>
      <c r="AI15" s="868"/>
      <c r="AJ15" s="868"/>
      <c r="AK15" s="868"/>
      <c r="AL15" s="868"/>
      <c r="AM15" s="264">
        <f t="shared" si="0"/>
        <v>0</v>
      </c>
      <c r="AN15" s="261"/>
      <c r="AO15" s="262"/>
      <c r="AP15" s="261"/>
      <c r="AQ15" s="261"/>
      <c r="AR15" s="261"/>
      <c r="AS15" s="265"/>
      <c r="AT15" s="265"/>
      <c r="AU15" s="261"/>
      <c r="AV15" s="264">
        <f t="shared" si="1"/>
        <v>0</v>
      </c>
      <c r="AX15" s="262"/>
      <c r="AY15" s="261"/>
      <c r="AZ15" s="262"/>
      <c r="BA15" s="261"/>
      <c r="BB15" s="261"/>
      <c r="BE15" s="261"/>
      <c r="BK15" s="867"/>
      <c r="BL15" s="871"/>
      <c r="BO15" s="261"/>
      <c r="BQ15" s="261"/>
      <c r="BR15" s="261"/>
      <c r="BS15" s="261"/>
    </row>
    <row r="16" spans="1:71">
      <c r="C16" s="261"/>
      <c r="D16" s="261"/>
      <c r="E16" s="261"/>
      <c r="F16" s="261"/>
      <c r="I16" s="261"/>
      <c r="J16" s="261"/>
      <c r="K16" s="261"/>
      <c r="L16" s="261"/>
      <c r="N16" s="261"/>
      <c r="P16" s="261"/>
      <c r="Q16" s="261"/>
      <c r="R16" s="261"/>
      <c r="T16" s="264"/>
      <c r="U16" s="261"/>
      <c r="V16" s="261"/>
      <c r="W16" s="261"/>
      <c r="X16" s="261"/>
      <c r="Y16" s="261"/>
      <c r="AA16" s="261"/>
      <c r="AB16" s="261"/>
      <c r="AC16" s="261"/>
      <c r="AD16" s="261"/>
      <c r="AE16" s="261"/>
      <c r="AG16" s="868"/>
      <c r="AH16" s="868"/>
      <c r="AI16" s="868"/>
      <c r="AJ16" s="868"/>
      <c r="AK16" s="868"/>
      <c r="AL16" s="868"/>
      <c r="AM16" s="264">
        <f t="shared" si="0"/>
        <v>0</v>
      </c>
      <c r="AN16" s="261"/>
      <c r="AO16" s="262"/>
      <c r="AP16" s="261"/>
      <c r="AQ16" s="261"/>
      <c r="AR16" s="261"/>
      <c r="AS16" s="265"/>
      <c r="AT16" s="265"/>
      <c r="AU16" s="261"/>
      <c r="AV16" s="264">
        <f t="shared" si="1"/>
        <v>0</v>
      </c>
      <c r="AX16" s="262"/>
      <c r="AY16" s="261"/>
      <c r="AZ16" s="262"/>
      <c r="BA16" s="261"/>
      <c r="BB16" s="261"/>
      <c r="BE16" s="261"/>
      <c r="BK16" s="867"/>
      <c r="BL16" s="871"/>
      <c r="BO16" s="261"/>
      <c r="BQ16" s="261"/>
      <c r="BR16" s="261"/>
      <c r="BS16" s="261"/>
    </row>
    <row r="17" spans="1:71">
      <c r="A17" s="252" t="s">
        <v>693</v>
      </c>
      <c r="B17" s="253" t="s">
        <v>744</v>
      </c>
      <c r="C17" s="261">
        <v>4988.7330000000002</v>
      </c>
      <c r="D17" s="261">
        <v>7015.6996834061147</v>
      </c>
      <c r="E17" s="261">
        <v>353.33239604699571</v>
      </c>
      <c r="F17" s="263">
        <f>SUM(C17:E17)</f>
        <v>12357.765079453109</v>
      </c>
      <c r="G17" s="252" t="s">
        <v>745</v>
      </c>
      <c r="I17" s="261">
        <v>4311.8</v>
      </c>
      <c r="J17" s="261">
        <v>6651.494541484717</v>
      </c>
      <c r="K17" s="261">
        <v>300.11777569980694</v>
      </c>
      <c r="L17" s="263">
        <v>11263.412317184524</v>
      </c>
      <c r="N17" s="261">
        <f>D17+E17-J17-K17</f>
        <v>417.41976226858679</v>
      </c>
      <c r="P17" s="261">
        <f>C17-I17</f>
        <v>676.93299999999999</v>
      </c>
      <c r="Q17" s="261">
        <f>$Q$1+$Q$2</f>
        <v>557.86</v>
      </c>
      <c r="R17" s="261">
        <f>P17-Q17</f>
        <v>119.07299999999998</v>
      </c>
      <c r="T17" s="264"/>
      <c r="U17" s="261">
        <v>4669.5061499999993</v>
      </c>
      <c r="V17" s="261">
        <v>7015.6996834061147</v>
      </c>
      <c r="W17" s="261">
        <v>353.33239604699571</v>
      </c>
      <c r="X17" s="263">
        <f>SUM(U17:W17)</f>
        <v>12038.53822945311</v>
      </c>
      <c r="Y17" s="261">
        <f>X17-L17</f>
        <v>775.12591226858603</v>
      </c>
      <c r="AA17" s="261">
        <v>4988.7330000000002</v>
      </c>
      <c r="AB17" s="261">
        <v>6633.2918777292571</v>
      </c>
      <c r="AC17" s="261">
        <v>353.33239604699571</v>
      </c>
      <c r="AD17" s="263">
        <f>SUM(AA17:AC17)</f>
        <v>11975.357273776253</v>
      </c>
      <c r="AE17" s="261">
        <f>AD17-L17</f>
        <v>711.94495659172935</v>
      </c>
      <c r="AG17" s="868">
        <v>4924.8876300000002</v>
      </c>
      <c r="AH17" s="868">
        <v>6939.2781222707436</v>
      </c>
      <c r="AI17" s="868">
        <v>353.33239604699571</v>
      </c>
      <c r="AJ17" s="868">
        <f>SUM(AG17:AI17)</f>
        <v>12217.498148317738</v>
      </c>
      <c r="AK17" s="868">
        <f t="shared" si="2"/>
        <v>954.08583113321401</v>
      </c>
      <c r="AL17" s="868">
        <f t="shared" si="3"/>
        <v>-140.26693113537112</v>
      </c>
      <c r="AM17" s="264">
        <f t="shared" si="0"/>
        <v>549.24225999999999</v>
      </c>
      <c r="AN17" s="261">
        <v>4861.0422600000002</v>
      </c>
      <c r="AO17" s="262">
        <v>6862.8565611353715</v>
      </c>
      <c r="AP17" s="261">
        <f t="shared" si="4"/>
        <v>300.11777569980694</v>
      </c>
      <c r="AQ17" s="261">
        <f t="shared" si="5"/>
        <v>12024.016596835179</v>
      </c>
      <c r="AR17" s="261">
        <f t="shared" si="6"/>
        <v>760.60427965065537</v>
      </c>
      <c r="AS17" s="265">
        <f t="shared" si="7"/>
        <v>6.7528761110006219E-2</v>
      </c>
      <c r="AT17" s="265">
        <f t="shared" si="8"/>
        <v>1.8765362902340054E-2</v>
      </c>
      <c r="AU17" s="261">
        <f t="shared" si="9"/>
        <v>211.36201965065447</v>
      </c>
      <c r="AV17" s="264">
        <f>AO17-J17</f>
        <v>211.36201965065447</v>
      </c>
      <c r="AX17" s="262">
        <v>4896.1872134999994</v>
      </c>
      <c r="AY17" s="261">
        <v>6900.9173417030579</v>
      </c>
      <c r="AZ17" s="262">
        <f t="shared" si="10"/>
        <v>300.11777569980694</v>
      </c>
      <c r="BA17" s="261">
        <f t="shared" ref="BA17" si="20">SUM(AX17:AZ17)</f>
        <v>12097.222330902865</v>
      </c>
      <c r="BB17" s="261">
        <f t="shared" ref="BB17" si="21">BA17-V17</f>
        <v>5081.5226474967503</v>
      </c>
      <c r="BE17" s="261">
        <f>AX17+AO17+AZ17</f>
        <v>12059.161550335179</v>
      </c>
      <c r="BG17" s="869">
        <v>7108.341692358078</v>
      </c>
      <c r="BH17" s="261">
        <v>4994.3789577699999</v>
      </c>
      <c r="BI17" s="261">
        <f>AZ17</f>
        <v>300.11777569980694</v>
      </c>
      <c r="BK17" s="870"/>
      <c r="BL17" s="871"/>
      <c r="BM17" s="261"/>
      <c r="BN17" s="261"/>
      <c r="BO17" s="261"/>
      <c r="BQ17" s="261"/>
      <c r="BR17" s="261"/>
      <c r="BS17" s="261"/>
    </row>
    <row r="18" spans="1:71">
      <c r="C18" s="261"/>
      <c r="D18" s="261"/>
      <c r="E18" s="261"/>
      <c r="F18" s="261"/>
      <c r="N18" s="261"/>
      <c r="P18" s="261"/>
      <c r="Q18" s="261"/>
      <c r="R18" s="261"/>
      <c r="AN18" s="253"/>
      <c r="AO18" s="260"/>
      <c r="AP18" s="261"/>
      <c r="AQ18" s="261"/>
      <c r="AR18" s="253"/>
      <c r="AU18" s="261"/>
      <c r="AV18" s="264">
        <f t="shared" si="1"/>
        <v>0</v>
      </c>
      <c r="AX18" s="260"/>
      <c r="AY18" s="253"/>
      <c r="AZ18" s="262"/>
      <c r="BA18" s="261"/>
      <c r="BB18" s="253"/>
      <c r="BE18" s="261"/>
      <c r="BK18" s="867"/>
      <c r="BL18" s="871"/>
      <c r="BO18" s="261"/>
      <c r="BQ18" s="261"/>
      <c r="BR18" s="261"/>
      <c r="BS18" s="261"/>
    </row>
    <row r="19" spans="1:71">
      <c r="C19" s="261"/>
      <c r="D19" s="261"/>
      <c r="E19" s="261"/>
      <c r="F19" s="261"/>
      <c r="N19" s="261"/>
      <c r="P19" s="261"/>
      <c r="Q19" s="261"/>
      <c r="R19" s="261"/>
      <c r="AN19" s="253"/>
      <c r="AO19" s="260"/>
      <c r="AP19" s="261"/>
      <c r="AQ19" s="261"/>
      <c r="AR19" s="253"/>
      <c r="AU19" s="261"/>
      <c r="AV19" s="264">
        <f t="shared" si="1"/>
        <v>0</v>
      </c>
      <c r="AX19" s="260"/>
      <c r="AY19" s="253"/>
      <c r="AZ19" s="262"/>
      <c r="BA19" s="261"/>
      <c r="BB19" s="253"/>
      <c r="BE19" s="261"/>
      <c r="BK19" s="867"/>
      <c r="BL19" s="871"/>
      <c r="BO19" s="261"/>
      <c r="BQ19" s="261"/>
      <c r="BR19" s="261"/>
      <c r="BS19" s="261"/>
    </row>
    <row r="20" spans="1:71" ht="25">
      <c r="A20" s="252" t="s">
        <v>746</v>
      </c>
      <c r="C20" s="261">
        <v>0</v>
      </c>
      <c r="D20" s="261">
        <v>0</v>
      </c>
      <c r="E20" s="261">
        <v>0</v>
      </c>
      <c r="F20" s="263">
        <v>2635</v>
      </c>
      <c r="G20" s="266" t="s">
        <v>747</v>
      </c>
      <c r="I20" s="261">
        <v>0</v>
      </c>
      <c r="J20" s="261">
        <v>0</v>
      </c>
      <c r="K20" s="261">
        <v>0</v>
      </c>
      <c r="L20" s="263">
        <v>2635</v>
      </c>
      <c r="N20" s="261">
        <f>D20+E20-J20-K20</f>
        <v>0</v>
      </c>
      <c r="P20" s="261">
        <f>C20-I20</f>
        <v>0</v>
      </c>
      <c r="Q20" s="261"/>
      <c r="R20" s="261"/>
      <c r="AN20" s="253"/>
      <c r="AO20" s="260"/>
      <c r="AP20" s="261"/>
      <c r="AQ20" s="261">
        <f>F20</f>
        <v>2635</v>
      </c>
      <c r="AR20" s="253"/>
      <c r="AU20" s="261"/>
      <c r="AV20" s="264">
        <f t="shared" si="1"/>
        <v>0</v>
      </c>
      <c r="AX20" s="260"/>
      <c r="AY20" s="253"/>
      <c r="AZ20" s="262">
        <v>2635</v>
      </c>
      <c r="BA20" s="261"/>
      <c r="BB20" s="253"/>
      <c r="BE20" s="261">
        <f>AX20+AO20+AZ20</f>
        <v>2635</v>
      </c>
      <c r="BK20" s="867"/>
      <c r="BL20" s="871"/>
      <c r="BM20" s="261"/>
      <c r="BN20" s="261"/>
      <c r="BO20" s="261"/>
      <c r="BQ20" s="261"/>
      <c r="BR20" s="261"/>
      <c r="BS20" s="261"/>
    </row>
    <row r="21" spans="1:71">
      <c r="C21" s="261"/>
      <c r="D21" s="261"/>
      <c r="E21" s="261"/>
      <c r="F21" s="261"/>
      <c r="G21" s="254"/>
      <c r="I21" s="261"/>
      <c r="J21" s="261"/>
      <c r="K21" s="261"/>
      <c r="L21" s="261"/>
      <c r="N21" s="261"/>
      <c r="P21" s="261"/>
      <c r="Q21" s="261"/>
      <c r="R21" s="261"/>
      <c r="X21" s="863" t="s">
        <v>748</v>
      </c>
      <c r="AD21" s="869">
        <v>22386.188537117905</v>
      </c>
      <c r="AN21" s="253"/>
      <c r="AO21" s="260"/>
      <c r="AP21" s="261"/>
      <c r="AQ21" s="261"/>
      <c r="AR21" s="253"/>
      <c r="AU21" s="261"/>
      <c r="AV21" s="264">
        <f t="shared" si="1"/>
        <v>0</v>
      </c>
      <c r="AX21" s="260"/>
      <c r="AY21" s="253"/>
      <c r="AZ21" s="262"/>
      <c r="BA21" s="261"/>
      <c r="BB21" s="253"/>
      <c r="BE21" s="261"/>
      <c r="BK21" s="867"/>
      <c r="BL21" s="871"/>
      <c r="BO21" s="261"/>
      <c r="BQ21" s="261"/>
      <c r="BR21" s="261"/>
      <c r="BS21" s="261"/>
    </row>
    <row r="22" spans="1:71">
      <c r="A22" s="252" t="s">
        <v>698</v>
      </c>
      <c r="B22" s="253" t="s">
        <v>696</v>
      </c>
      <c r="C22" s="261">
        <v>8314.5550000000003</v>
      </c>
      <c r="D22" s="261">
        <v>7795.2218704512379</v>
      </c>
      <c r="E22" s="261">
        <v>353.33239604699571</v>
      </c>
      <c r="F22" s="263">
        <f>SUM(C22:E22)</f>
        <v>16463.109266498235</v>
      </c>
      <c r="G22" s="252" t="s">
        <v>749</v>
      </c>
      <c r="I22" s="261">
        <v>7186.333333333333</v>
      </c>
      <c r="J22" s="261">
        <v>7390.549490538574</v>
      </c>
      <c r="K22" s="261">
        <v>300.11777569980694</v>
      </c>
      <c r="L22" s="263">
        <v>14877.000599571715</v>
      </c>
      <c r="N22" s="261">
        <f>D22+E22-J22-K22</f>
        <v>457.8870002598531</v>
      </c>
      <c r="P22" s="261">
        <f>C22-I22</f>
        <v>1128.2216666666673</v>
      </c>
      <c r="Q22" s="261">
        <f>$Q$1+$Q$2</f>
        <v>557.86</v>
      </c>
      <c r="R22" s="261">
        <f>P22-Q22</f>
        <v>570.36166666666725</v>
      </c>
      <c r="AG22" s="868">
        <v>8208.1460500000012</v>
      </c>
      <c r="AH22" s="868">
        <v>7710.3090247452701</v>
      </c>
      <c r="AI22" s="868">
        <v>353.33239604699571</v>
      </c>
      <c r="AJ22" s="868">
        <f>SUM(AG22:AI22)</f>
        <v>16271.787470792266</v>
      </c>
      <c r="AK22" s="868">
        <f>AJ22-L22</f>
        <v>1394.7868712205509</v>
      </c>
      <c r="AL22" s="868">
        <f>AJ22-F22</f>
        <v>-191.32179570596963</v>
      </c>
      <c r="AN22" s="261">
        <v>8101.7370999999994</v>
      </c>
      <c r="AO22" s="262">
        <v>7625.3961790393014</v>
      </c>
      <c r="AP22" s="261">
        <f t="shared" si="4"/>
        <v>300.11777569980694</v>
      </c>
      <c r="AQ22" s="261">
        <f t="shared" si="5"/>
        <v>16027.251054739108</v>
      </c>
      <c r="AR22" s="253"/>
      <c r="AU22" s="261">
        <f t="shared" si="9"/>
        <v>234.8466885007274</v>
      </c>
      <c r="AV22" s="264">
        <f t="shared" si="1"/>
        <v>234.8466885007274</v>
      </c>
      <c r="AX22" s="262">
        <v>8160.3120224999993</v>
      </c>
      <c r="AY22" s="261">
        <v>7667.6859352256188</v>
      </c>
      <c r="AZ22" s="262">
        <f t="shared" si="10"/>
        <v>300.11777569980694</v>
      </c>
      <c r="BA22" s="261">
        <f t="shared" ref="BA22" si="22">SUM(AX22:AZ22)</f>
        <v>16128.115733425426</v>
      </c>
      <c r="BB22" s="253"/>
      <c r="BE22" s="261">
        <f t="shared" si="13"/>
        <v>16085.825977239108</v>
      </c>
      <c r="BG22" s="869">
        <v>7898.1574359534206</v>
      </c>
      <c r="BH22" s="261">
        <v>8323.9649296166663</v>
      </c>
      <c r="BI22" s="261">
        <f>AZ22</f>
        <v>300.11777569980694</v>
      </c>
      <c r="BK22" s="870">
        <f>SUM(BG22:BI22)*1.03</f>
        <v>17017.907345507989</v>
      </c>
      <c r="BL22" s="871">
        <f t="shared" si="14"/>
        <v>5.7944265317040201E-2</v>
      </c>
      <c r="BM22" s="261">
        <f>BK22-BE22</f>
        <v>932.0813682688804</v>
      </c>
      <c r="BN22" s="261">
        <v>320.74749736412014</v>
      </c>
      <c r="BO22" s="261">
        <f t="shared" si="15"/>
        <v>611.33387090476026</v>
      </c>
      <c r="BQ22" s="261"/>
      <c r="BR22" s="261"/>
      <c r="BS22" s="261"/>
    </row>
    <row r="23" spans="1:71">
      <c r="C23" s="261"/>
      <c r="D23" s="261"/>
      <c r="E23" s="261"/>
      <c r="F23" s="261"/>
      <c r="I23" s="261"/>
      <c r="J23" s="261"/>
      <c r="K23" s="261"/>
      <c r="L23" s="261"/>
      <c r="N23" s="261"/>
      <c r="P23" s="261"/>
      <c r="Q23" s="261"/>
      <c r="R23" s="261"/>
      <c r="AH23" s="868"/>
      <c r="AN23" s="253"/>
      <c r="AO23" s="260"/>
      <c r="AP23" s="253"/>
      <c r="AQ23" s="261"/>
      <c r="AR23" s="253"/>
      <c r="AU23" s="261"/>
      <c r="AV23" s="264">
        <f t="shared" si="1"/>
        <v>0</v>
      </c>
      <c r="AX23" s="262"/>
      <c r="AY23" s="253"/>
      <c r="AZ23" s="262"/>
      <c r="BA23" s="261"/>
      <c r="BB23" s="253"/>
      <c r="BE23" s="261"/>
      <c r="BK23" s="867"/>
      <c r="BL23" s="871"/>
      <c r="BO23" s="261"/>
      <c r="BQ23" s="261"/>
      <c r="BR23" s="261"/>
      <c r="BS23" s="261"/>
    </row>
    <row r="24" spans="1:71">
      <c r="A24" s="252" t="s">
        <v>699</v>
      </c>
      <c r="B24" s="253" t="s">
        <v>700</v>
      </c>
      <c r="C24" s="261">
        <v>0</v>
      </c>
      <c r="D24" s="261">
        <v>23385.665611353714</v>
      </c>
      <c r="E24" s="261">
        <v>0</v>
      </c>
      <c r="F24" s="263">
        <f>SUM(C24:E24)</f>
        <v>23385.665611353714</v>
      </c>
      <c r="G24" s="252" t="s">
        <v>750</v>
      </c>
      <c r="I24" s="261">
        <v>0</v>
      </c>
      <c r="J24" s="261">
        <v>22512.750755794426</v>
      </c>
      <c r="K24" s="261">
        <v>0</v>
      </c>
      <c r="L24" s="263">
        <v>22512.750755794426</v>
      </c>
      <c r="N24" s="261">
        <f>D24+E24-J24-K24</f>
        <v>872.91485555928739</v>
      </c>
      <c r="P24" s="261">
        <f>C24-I24</f>
        <v>0</v>
      </c>
      <c r="Q24" s="261"/>
      <c r="R24" s="261"/>
      <c r="AH24" s="868">
        <v>23130.927074235809</v>
      </c>
      <c r="AK24" s="868">
        <f>AH24-J24</f>
        <v>618.17631844138305</v>
      </c>
      <c r="AL24" s="868">
        <f>AH24-D24</f>
        <v>-254.73853711790434</v>
      </c>
      <c r="AN24" s="253"/>
      <c r="AO24" s="262">
        <v>22876.188537117905</v>
      </c>
      <c r="AP24" s="253">
        <v>0</v>
      </c>
      <c r="AQ24" s="261">
        <f t="shared" si="5"/>
        <v>22876.188537117905</v>
      </c>
      <c r="AR24" s="253"/>
      <c r="AU24" s="261">
        <f>AO24-J24</f>
        <v>363.4377813234787</v>
      </c>
      <c r="AV24" s="264">
        <f t="shared" si="1"/>
        <v>363.4377813234787</v>
      </c>
      <c r="AX24" s="262"/>
      <c r="AY24" s="261"/>
      <c r="AZ24" s="262">
        <f t="shared" si="10"/>
        <v>0</v>
      </c>
      <c r="BA24" s="261">
        <f t="shared" ref="BA24" si="23">SUM(AX24:AZ24)</f>
        <v>0</v>
      </c>
      <c r="BB24" s="253"/>
      <c r="BE24" s="261">
        <f t="shared" si="13"/>
        <v>22876.188537117905</v>
      </c>
      <c r="BG24" s="869">
        <v>23694.472307860262</v>
      </c>
      <c r="BH24" s="261">
        <v>0</v>
      </c>
      <c r="BI24" s="261">
        <f>AZ24</f>
        <v>0</v>
      </c>
      <c r="BK24" s="870">
        <f>SUM(BG24:BI24)*1.03</f>
        <v>24405.30647709607</v>
      </c>
      <c r="BL24" s="871">
        <f t="shared" si="14"/>
        <v>6.6843212867260859E-2</v>
      </c>
      <c r="BM24" s="261">
        <f>BK24-BE24</f>
        <v>1529.1179399781649</v>
      </c>
      <c r="BN24" s="261">
        <v>471.28377074235686</v>
      </c>
      <c r="BO24" s="261">
        <f t="shared" si="15"/>
        <v>1057.8341692358081</v>
      </c>
      <c r="BQ24" s="261"/>
      <c r="BR24" s="261"/>
      <c r="BS24" s="261"/>
    </row>
    <row r="25" spans="1:71">
      <c r="K25" s="252"/>
      <c r="L25" s="252"/>
      <c r="AF25" s="252" t="s">
        <v>751</v>
      </c>
      <c r="AH25" s="868">
        <v>22749.319268558953</v>
      </c>
      <c r="AK25" s="868">
        <f>AH25-J24</f>
        <v>236.56851276452653</v>
      </c>
      <c r="AL25" s="868">
        <f>AH25-D24</f>
        <v>-636.34634279476086</v>
      </c>
      <c r="AO25" s="262"/>
      <c r="AX25" s="262"/>
      <c r="AY25" s="261"/>
      <c r="AZ25" s="262"/>
      <c r="BE25" s="253"/>
      <c r="BG25" s="869"/>
      <c r="BH25" s="261"/>
      <c r="BI25" s="261"/>
      <c r="BK25" s="870"/>
      <c r="BL25" s="871"/>
      <c r="BM25" s="261"/>
      <c r="BO25" s="261"/>
      <c r="BQ25" s="261"/>
      <c r="BR25" s="261"/>
      <c r="BS25" s="261"/>
    </row>
    <row r="26" spans="1:71">
      <c r="A26" s="252" t="s">
        <v>702</v>
      </c>
      <c r="B26" s="253" t="s">
        <v>703</v>
      </c>
      <c r="G26" s="252" t="s">
        <v>752</v>
      </c>
      <c r="I26" s="261">
        <v>5046.875</v>
      </c>
      <c r="J26" s="261">
        <v>5542.9121179039303</v>
      </c>
      <c r="K26" s="261">
        <v>300.11777569980694</v>
      </c>
      <c r="L26" s="261">
        <v>10889.904893603738</v>
      </c>
      <c r="AO26" s="262">
        <v>5719.0471342794763</v>
      </c>
      <c r="AX26" s="262">
        <v>5730.1090168749997</v>
      </c>
      <c r="AY26" s="261"/>
      <c r="AZ26" s="262">
        <f t="shared" si="10"/>
        <v>300.11777569980694</v>
      </c>
      <c r="BE26" s="261">
        <f>AX26+AO26+AZ26</f>
        <v>11749.273926854283</v>
      </c>
      <c r="BG26" s="869">
        <v>5923.6180769650655</v>
      </c>
      <c r="BH26" s="261">
        <v>5845.0486972125</v>
      </c>
      <c r="BI26" s="261">
        <f t="shared" ref="BI26" si="24">AZ26</f>
        <v>300.11777569980694</v>
      </c>
      <c r="BK26" s="870">
        <f>SUM(BG26:BI26)*1.03</f>
        <v>12430.848086373695</v>
      </c>
      <c r="BL26" s="871">
        <f t="shared" si="14"/>
        <v>5.8009896080607845E-2</v>
      </c>
      <c r="BM26" s="261">
        <f>BK26-BE26</f>
        <v>681.57415951941221</v>
      </c>
      <c r="BN26" s="261">
        <v>232.76062302309037</v>
      </c>
      <c r="BO26" s="261">
        <f t="shared" si="15"/>
        <v>448.81353649632183</v>
      </c>
      <c r="BQ26" s="261"/>
      <c r="BR26" s="261"/>
      <c r="BS26" s="261"/>
    </row>
    <row r="27" spans="1:71">
      <c r="K27" s="252"/>
      <c r="L27" s="252"/>
      <c r="AX27" s="261"/>
      <c r="BE27" s="253"/>
      <c r="BK27" s="867"/>
      <c r="BL27" s="871"/>
      <c r="BO27" s="261"/>
      <c r="BQ27" s="261"/>
      <c r="BR27" s="261"/>
      <c r="BS27" s="261"/>
    </row>
    <row r="28" spans="1:71">
      <c r="A28" s="252" t="s">
        <v>753</v>
      </c>
      <c r="G28" s="252" t="s">
        <v>754</v>
      </c>
      <c r="K28" s="261">
        <v>300.11777569980694</v>
      </c>
      <c r="AO28" s="262">
        <v>8273.8097577603712</v>
      </c>
      <c r="AX28" s="262">
        <v>6120.2340168749997</v>
      </c>
      <c r="AZ28" s="262">
        <f t="shared" si="10"/>
        <v>300.11777569980694</v>
      </c>
      <c r="BE28" s="261">
        <f>AX28+AO28+AZ28</f>
        <v>14694.161550335179</v>
      </c>
      <c r="BG28" s="869">
        <v>8569.7648394384141</v>
      </c>
      <c r="BH28" s="261">
        <v>6242.9736972125002</v>
      </c>
      <c r="BI28" s="261">
        <f>AZ28</f>
        <v>300.11777569980694</v>
      </c>
      <c r="BK28" s="870">
        <f>SUM(BG28:BI28)*1.03</f>
        <v>15566.242001721244</v>
      </c>
      <c r="BL28" s="871">
        <f t="shared" si="14"/>
        <v>5.9348772531099152E-2</v>
      </c>
      <c r="BM28" s="261">
        <f>BK28-BE28</f>
        <v>872.08045138606576</v>
      </c>
      <c r="BN28" s="261">
        <v>293.1925621501905</v>
      </c>
      <c r="BO28" s="261">
        <f t="shared" si="15"/>
        <v>578.88788923587526</v>
      </c>
      <c r="BQ28" s="261"/>
      <c r="BR28" s="261"/>
      <c r="BS28" s="261"/>
    </row>
    <row r="29" spans="1:71">
      <c r="C29" s="261"/>
      <c r="D29" s="261"/>
      <c r="E29" s="261"/>
      <c r="F29" s="261"/>
      <c r="BE29" s="261"/>
      <c r="BH29" s="261"/>
      <c r="BI29" s="261"/>
      <c r="BK29" s="870"/>
      <c r="BL29" s="871"/>
      <c r="BM29" s="261"/>
      <c r="BO29" s="261"/>
      <c r="BQ29" s="261"/>
      <c r="BR29" s="261"/>
      <c r="BS29" s="261"/>
    </row>
    <row r="30" spans="1:71">
      <c r="A30" s="252" t="s">
        <v>701</v>
      </c>
      <c r="C30" s="261"/>
      <c r="D30" s="261"/>
      <c r="E30" s="261"/>
      <c r="F30" s="261"/>
      <c r="G30" s="872" t="s">
        <v>755</v>
      </c>
      <c r="H30" s="872"/>
      <c r="I30" s="873">
        <v>5389.75</v>
      </c>
      <c r="J30" s="873">
        <v>2771.4560589519651</v>
      </c>
      <c r="K30" s="873">
        <v>300</v>
      </c>
      <c r="L30" s="873">
        <f>SUM(I30:K30)</f>
        <v>8461.2060589519642</v>
      </c>
      <c r="M30" s="873"/>
      <c r="N30" s="873"/>
      <c r="P30" s="252"/>
      <c r="AO30" s="262">
        <v>2859.5235671397381</v>
      </c>
      <c r="AX30" s="262">
        <v>6120.2340168749997</v>
      </c>
      <c r="AZ30" s="874">
        <v>300.11777569980694</v>
      </c>
      <c r="BA30" s="873"/>
      <c r="BB30" s="873"/>
      <c r="BC30" s="873"/>
      <c r="BD30" s="873"/>
      <c r="BE30" s="261">
        <f t="shared" ref="BE30" si="25">AX30+AO30+AZ30</f>
        <v>9279.875359714546</v>
      </c>
      <c r="BF30" s="872"/>
      <c r="BG30" s="869">
        <v>2961.8090384825327</v>
      </c>
      <c r="BH30" s="261">
        <v>6242.9736972125002</v>
      </c>
      <c r="BI30" s="261">
        <f t="shared" ref="BI30" si="26">AZ30</f>
        <v>300.11777569980694</v>
      </c>
      <c r="BK30" s="870">
        <f>SUM(BG30:BI30)*1.03</f>
        <v>9790.0475267366855</v>
      </c>
      <c r="BL30" s="871">
        <f t="shared" si="14"/>
        <v>5.4976187421318205E-2</v>
      </c>
      <c r="BM30" s="261">
        <f t="shared" ref="BM30" si="27">BK30-BE30</f>
        <v>510.17216702213955</v>
      </c>
      <c r="BN30" s="261">
        <v>181.65015168029458</v>
      </c>
      <c r="BO30" s="261">
        <f t="shared" si="15"/>
        <v>328.52201534184496</v>
      </c>
      <c r="BQ30" s="261"/>
      <c r="BR30" s="261"/>
      <c r="BS30" s="261"/>
    </row>
    <row r="31" spans="1:71">
      <c r="Q31" s="875"/>
    </row>
    <row r="32" spans="1:71">
      <c r="Q32" s="875"/>
      <c r="AO32" s="876">
        <f>BE17+BE20-AX28-AZ28</f>
        <v>8273.8097577603712</v>
      </c>
      <c r="AP32" s="877" t="s">
        <v>756</v>
      </c>
    </row>
    <row r="33" spans="3:64">
      <c r="C33" s="261"/>
      <c r="D33" s="261"/>
      <c r="E33" s="261"/>
      <c r="F33" s="261"/>
      <c r="AO33" s="878"/>
      <c r="AP33" s="878"/>
      <c r="BL33" s="879">
        <f>AVERAGE(BL5:BL30)</f>
        <v>5.8386560747342497E-2</v>
      </c>
    </row>
    <row r="34" spans="3:64">
      <c r="I34" s="252"/>
      <c r="J34" s="252"/>
      <c r="K34" s="252"/>
      <c r="L34" s="252"/>
      <c r="AO34" s="880">
        <f>AO32*8</f>
        <v>66190.47806208297</v>
      </c>
      <c r="AP34" s="878" t="s">
        <v>757</v>
      </c>
    </row>
    <row r="35" spans="3:64">
      <c r="C35" s="261"/>
      <c r="D35" s="261"/>
      <c r="E35" s="261"/>
      <c r="F35" s="261"/>
      <c r="I35" s="252"/>
      <c r="J35" s="252"/>
      <c r="K35" s="252"/>
      <c r="L35" s="252"/>
      <c r="AO35" s="881">
        <v>22876.188537117905</v>
      </c>
      <c r="AP35" s="878" t="s">
        <v>758</v>
      </c>
    </row>
    <row r="36" spans="3:64">
      <c r="I36" s="252"/>
      <c r="J36" s="252"/>
      <c r="K36" s="252"/>
      <c r="L36" s="252"/>
      <c r="AO36" s="882">
        <f>AO34/AO35</f>
        <v>2.8934224752818936</v>
      </c>
      <c r="AP36" s="882" t="s">
        <v>66</v>
      </c>
    </row>
    <row r="37" spans="3:64">
      <c r="C37" s="261"/>
      <c r="D37" s="261"/>
      <c r="E37" s="261"/>
      <c r="F37" s="261"/>
      <c r="I37" s="252"/>
      <c r="J37" s="252"/>
      <c r="K37" s="252"/>
      <c r="L37" s="252"/>
    </row>
    <row r="38" spans="3:64">
      <c r="I38" s="252"/>
      <c r="J38" s="252"/>
      <c r="K38" s="252"/>
      <c r="L38" s="252"/>
    </row>
    <row r="39" spans="3:64">
      <c r="C39" s="261"/>
      <c r="D39" s="261"/>
      <c r="E39" s="261"/>
      <c r="F39" s="261"/>
      <c r="I39" s="252"/>
      <c r="J39" s="252"/>
      <c r="K39" s="252"/>
      <c r="L39" s="252"/>
    </row>
    <row r="40" spans="3:64">
      <c r="I40" s="252"/>
      <c r="J40" s="252"/>
      <c r="K40" s="252"/>
      <c r="L40" s="252"/>
      <c r="AO40" s="904">
        <f>(AO26-J26)/J26</f>
        <v>3.1776620777843399E-2</v>
      </c>
    </row>
    <row r="41" spans="3:64">
      <c r="C41" s="261"/>
      <c r="D41" s="261"/>
      <c r="E41" s="261"/>
      <c r="F41" s="261"/>
      <c r="I41" s="252"/>
      <c r="J41" s="252"/>
      <c r="K41" s="252"/>
      <c r="L41" s="252"/>
    </row>
    <row r="42" spans="3:64">
      <c r="I42" s="252"/>
      <c r="J42" s="252"/>
      <c r="K42" s="252"/>
      <c r="L42" s="252"/>
    </row>
    <row r="43" spans="3:64">
      <c r="C43" s="261"/>
      <c r="D43" s="261"/>
      <c r="E43" s="261"/>
      <c r="F43" s="261"/>
      <c r="I43" s="252"/>
      <c r="J43" s="252"/>
      <c r="K43" s="252"/>
      <c r="L43" s="252"/>
    </row>
  </sheetData>
  <mergeCells count="1">
    <mergeCell ref="N1:N3"/>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2:V37"/>
  <sheetViews>
    <sheetView topLeftCell="A13" zoomScaleNormal="100" workbookViewId="0">
      <selection activeCell="A7" sqref="A7"/>
    </sheetView>
  </sheetViews>
  <sheetFormatPr defaultRowHeight="14"/>
  <cols>
    <col min="1" max="1" width="18.25" customWidth="1"/>
    <col min="2" max="2" width="9.58203125" customWidth="1"/>
    <col min="5" max="6" width="10.08203125" bestFit="1" customWidth="1"/>
  </cols>
  <sheetData>
    <row r="2" spans="1:1">
      <c r="A2" s="76" t="s">
        <v>759</v>
      </c>
    </row>
    <row r="3" spans="1:1">
      <c r="A3" s="114" t="s">
        <v>760</v>
      </c>
    </row>
    <row r="4" spans="1:1">
      <c r="A4" t="s">
        <v>761</v>
      </c>
    </row>
    <row r="5" spans="1:1">
      <c r="A5" t="s">
        <v>762</v>
      </c>
    </row>
    <row r="6" spans="1:1">
      <c r="A6" t="s">
        <v>763</v>
      </c>
    </row>
    <row r="7" spans="1:1">
      <c r="A7" t="s">
        <v>764</v>
      </c>
    </row>
    <row r="8" spans="1:1">
      <c r="A8" t="s">
        <v>765</v>
      </c>
    </row>
    <row r="9" spans="1:1">
      <c r="A9" t="s">
        <v>766</v>
      </c>
    </row>
    <row r="11" spans="1:1">
      <c r="A11" s="76" t="s">
        <v>767</v>
      </c>
    </row>
    <row r="13" spans="1:1">
      <c r="A13" t="s">
        <v>768</v>
      </c>
    </row>
    <row r="15" spans="1:1">
      <c r="A15" s="76" t="s">
        <v>769</v>
      </c>
    </row>
    <row r="16" spans="1:1" ht="14.5">
      <c r="A16" s="118" t="s">
        <v>770</v>
      </c>
    </row>
    <row r="19" spans="1:22">
      <c r="C19" s="68" t="s">
        <v>771</v>
      </c>
      <c r="D19" s="68" t="s">
        <v>772</v>
      </c>
    </row>
    <row r="20" spans="1:22">
      <c r="A20" t="s">
        <v>773</v>
      </c>
      <c r="C20" s="117">
        <v>7900</v>
      </c>
      <c r="D20" s="117">
        <v>8350</v>
      </c>
      <c r="E20" t="s">
        <v>774</v>
      </c>
    </row>
    <row r="21" spans="1:22" ht="56.25" customHeight="1">
      <c r="A21" t="s">
        <v>186</v>
      </c>
      <c r="B21">
        <v>99</v>
      </c>
      <c r="C21" s="108">
        <v>8102</v>
      </c>
      <c r="D21" s="108">
        <v>8645</v>
      </c>
      <c r="E21" t="s">
        <v>774</v>
      </c>
      <c r="G21" s="1123" t="s">
        <v>775</v>
      </c>
      <c r="H21" s="1123"/>
      <c r="I21" s="1123"/>
      <c r="J21" s="1123"/>
      <c r="K21" s="1123"/>
      <c r="L21" s="1123"/>
      <c r="M21" s="1123"/>
      <c r="N21" s="1123"/>
      <c r="O21" s="1123"/>
      <c r="P21" s="1123"/>
      <c r="Q21" s="1123"/>
      <c r="R21" s="1123"/>
      <c r="S21" s="1123"/>
      <c r="T21" s="1123"/>
      <c r="U21" s="1123"/>
      <c r="V21" s="1123"/>
    </row>
    <row r="22" spans="1:22" ht="29.25" customHeight="1">
      <c r="A22" t="s">
        <v>284</v>
      </c>
      <c r="B22" s="1118" t="s">
        <v>776</v>
      </c>
      <c r="C22" s="1118"/>
      <c r="D22" s="1118"/>
      <c r="E22" s="1118"/>
      <c r="F22" s="1118"/>
      <c r="G22" s="1118"/>
      <c r="H22" s="1118"/>
      <c r="I22" s="1118"/>
      <c r="J22" s="1118"/>
      <c r="K22" s="1118"/>
      <c r="L22" s="1118"/>
      <c r="M22" s="1118"/>
      <c r="N22" s="1118"/>
      <c r="O22" s="1118"/>
      <c r="P22" s="1118"/>
      <c r="Q22" s="1118"/>
      <c r="R22" s="1118"/>
      <c r="S22" s="1118"/>
      <c r="T22" s="1118"/>
      <c r="U22" s="1118"/>
      <c r="V22" s="1118"/>
    </row>
    <row r="23" spans="1:22">
      <c r="A23" t="s">
        <v>280</v>
      </c>
      <c r="B23" t="s">
        <v>777</v>
      </c>
    </row>
    <row r="24" spans="1:22" ht="28.5" customHeight="1">
      <c r="A24" t="s">
        <v>280</v>
      </c>
      <c r="B24" s="1118" t="s">
        <v>778</v>
      </c>
      <c r="C24" s="1118"/>
      <c r="D24" s="1118"/>
      <c r="E24" s="1118"/>
      <c r="F24" s="1118"/>
      <c r="G24" s="1118"/>
      <c r="H24" s="1118"/>
      <c r="I24" s="1118"/>
      <c r="J24" s="1118"/>
      <c r="K24" s="1118"/>
      <c r="L24" s="1118"/>
      <c r="M24" s="1118"/>
      <c r="N24" s="1118"/>
      <c r="O24" s="1118"/>
      <c r="P24" s="1118"/>
      <c r="Q24" s="1118"/>
      <c r="R24" s="1118"/>
      <c r="S24" s="1118"/>
      <c r="T24" s="1118"/>
      <c r="U24" s="1118"/>
      <c r="V24" s="1118"/>
    </row>
    <row r="25" spans="1:22" ht="28.5" customHeight="1">
      <c r="A25" t="s">
        <v>428</v>
      </c>
      <c r="B25" s="1124" t="s">
        <v>779</v>
      </c>
      <c r="C25" s="1124"/>
      <c r="D25" s="1124"/>
      <c r="E25" s="1124"/>
      <c r="F25" s="1124"/>
      <c r="G25" s="1124"/>
      <c r="H25" s="1124"/>
      <c r="I25" s="1124"/>
      <c r="J25" s="1124"/>
      <c r="K25" s="1124"/>
      <c r="L25" s="1124"/>
      <c r="M25" s="1124"/>
      <c r="N25" s="1124"/>
      <c r="O25" s="1124"/>
      <c r="P25" s="1124"/>
      <c r="Q25" s="1124"/>
      <c r="R25" s="1124"/>
      <c r="S25" s="1124"/>
      <c r="T25" s="1124"/>
      <c r="U25" s="1124"/>
      <c r="V25" s="1124"/>
    </row>
    <row r="27" spans="1:22">
      <c r="A27" s="76" t="s">
        <v>780</v>
      </c>
    </row>
    <row r="28" spans="1:22" ht="14.5">
      <c r="A28" s="118" t="s">
        <v>770</v>
      </c>
    </row>
    <row r="30" spans="1:22" ht="28">
      <c r="A30" s="76" t="s">
        <v>781</v>
      </c>
      <c r="B30" s="119" t="s">
        <v>782</v>
      </c>
      <c r="C30" s="119" t="s">
        <v>783</v>
      </c>
      <c r="D30" s="119" t="s">
        <v>784</v>
      </c>
      <c r="E30" s="119" t="s">
        <v>785</v>
      </c>
      <c r="F30" s="119" t="s">
        <v>786</v>
      </c>
      <c r="G30" s="119" t="s">
        <v>163</v>
      </c>
    </row>
    <row r="31" spans="1:22">
      <c r="A31" s="76" t="s">
        <v>787</v>
      </c>
      <c r="B31" s="68" t="s">
        <v>788</v>
      </c>
      <c r="C31" s="68">
        <v>340</v>
      </c>
      <c r="D31" s="117">
        <v>16000</v>
      </c>
      <c r="E31" s="117">
        <v>16380</v>
      </c>
      <c r="F31" s="117">
        <v>16820</v>
      </c>
      <c r="G31" s="83" t="s">
        <v>789</v>
      </c>
    </row>
    <row r="32" spans="1:22">
      <c r="B32" s="68"/>
      <c r="C32" s="68"/>
      <c r="D32" s="117"/>
      <c r="E32" s="117"/>
      <c r="F32" s="117"/>
      <c r="G32" s="68"/>
    </row>
    <row r="33" spans="1:7">
      <c r="A33" s="76" t="s">
        <v>781</v>
      </c>
      <c r="B33" s="119" t="s">
        <v>782</v>
      </c>
      <c r="C33" s="119" t="s">
        <v>783</v>
      </c>
      <c r="D33" s="119" t="s">
        <v>44</v>
      </c>
      <c r="E33" s="120" t="s">
        <v>790</v>
      </c>
      <c r="F33" s="120" t="s">
        <v>791</v>
      </c>
      <c r="G33" s="119" t="s">
        <v>163</v>
      </c>
    </row>
    <row r="34" spans="1:7">
      <c r="A34" s="76" t="s">
        <v>792</v>
      </c>
      <c r="B34" s="68" t="s">
        <v>788</v>
      </c>
      <c r="C34" s="68">
        <v>63</v>
      </c>
      <c r="D34" s="68" t="s">
        <v>771</v>
      </c>
      <c r="E34" s="108">
        <v>22639</v>
      </c>
      <c r="F34" s="108">
        <v>30000</v>
      </c>
      <c r="G34" s="83" t="s">
        <v>793</v>
      </c>
    </row>
    <row r="35" spans="1:7">
      <c r="B35" s="68"/>
      <c r="C35" s="68"/>
      <c r="D35" s="68" t="s">
        <v>772</v>
      </c>
      <c r="E35" s="108">
        <v>23341</v>
      </c>
      <c r="F35" s="108">
        <v>30930</v>
      </c>
      <c r="G35" s="83" t="s">
        <v>794</v>
      </c>
    </row>
    <row r="36" spans="1:7">
      <c r="B36" s="68"/>
      <c r="C36" s="68"/>
      <c r="D36" s="68"/>
      <c r="E36" s="68"/>
      <c r="F36" s="68"/>
      <c r="G36" s="68"/>
    </row>
    <row r="37" spans="1:7">
      <c r="A37" t="s">
        <v>795</v>
      </c>
    </row>
  </sheetData>
  <mergeCells count="4">
    <mergeCell ref="G21:V21"/>
    <mergeCell ref="B25:V25"/>
    <mergeCell ref="B24:V24"/>
    <mergeCell ref="B22:V2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K46"/>
  <sheetViews>
    <sheetView workbookViewId="0"/>
  </sheetViews>
  <sheetFormatPr defaultRowHeight="14"/>
  <sheetData>
    <row r="1" spans="1:1">
      <c r="A1" t="s">
        <v>796</v>
      </c>
    </row>
    <row r="43" spans="11:11">
      <c r="K43" s="605" t="s">
        <v>797</v>
      </c>
    </row>
    <row r="44" spans="11:11">
      <c r="K44" s="605" t="s">
        <v>797</v>
      </c>
    </row>
    <row r="45" spans="11:11">
      <c r="K45" s="605" t="s">
        <v>797</v>
      </c>
    </row>
    <row r="46" spans="11:11">
      <c r="K46" s="605" t="s">
        <v>797</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2:M116"/>
  <sheetViews>
    <sheetView topLeftCell="A69" workbookViewId="0">
      <selection activeCell="B51" sqref="B51"/>
    </sheetView>
  </sheetViews>
  <sheetFormatPr defaultColWidth="9" defaultRowHeight="14"/>
  <cols>
    <col min="1" max="1" width="37.75" customWidth="1"/>
    <col min="2" max="2" width="40.58203125" customWidth="1"/>
    <col min="3" max="3" width="1.58203125" customWidth="1"/>
    <col min="4" max="4" width="40.58203125" style="68" customWidth="1"/>
    <col min="5" max="5" width="9.83203125" bestFit="1" customWidth="1"/>
    <col min="7" max="7" width="12.33203125" bestFit="1" customWidth="1"/>
    <col min="8" max="8" width="9.83203125" bestFit="1" customWidth="1"/>
  </cols>
  <sheetData>
    <row r="2" spans="1:13">
      <c r="A2" s="76" t="s">
        <v>122</v>
      </c>
    </row>
    <row r="3" spans="1:13">
      <c r="B3" s="855" t="s">
        <v>798</v>
      </c>
      <c r="C3" s="68"/>
      <c r="D3" s="68" t="s">
        <v>799</v>
      </c>
    </row>
    <row r="4" spans="1:13">
      <c r="A4" s="104" t="s">
        <v>124</v>
      </c>
      <c r="B4" s="105" t="s">
        <v>800</v>
      </c>
      <c r="D4" s="105"/>
      <c r="H4" s="122"/>
      <c r="I4" s="123"/>
    </row>
    <row r="5" spans="1:13">
      <c r="A5" t="s">
        <v>126</v>
      </c>
      <c r="B5" s="68">
        <v>63</v>
      </c>
      <c r="D5" s="68">
        <v>63</v>
      </c>
      <c r="H5" s="122"/>
      <c r="I5" s="123"/>
    </row>
    <row r="6" spans="1:13" s="118" customFormat="1" ht="14.5">
      <c r="A6" s="118" t="s">
        <v>127</v>
      </c>
      <c r="B6" s="102">
        <v>63</v>
      </c>
      <c r="D6" s="102">
        <v>0</v>
      </c>
      <c r="H6" s="137"/>
      <c r="I6" s="129"/>
    </row>
    <row r="7" spans="1:13" ht="14.5">
      <c r="A7" s="118" t="s">
        <v>788</v>
      </c>
      <c r="B7" s="68"/>
      <c r="D7" s="102">
        <v>63</v>
      </c>
      <c r="H7" s="122"/>
      <c r="I7" s="123"/>
    </row>
    <row r="8" spans="1:13">
      <c r="A8" t="s">
        <v>128</v>
      </c>
      <c r="B8" s="108">
        <f>'2122 Band Values'!N26</f>
        <v>11749.273926854283</v>
      </c>
      <c r="C8" s="108"/>
      <c r="D8" s="108">
        <f>B8</f>
        <v>11749.273926854283</v>
      </c>
      <c r="H8" s="106"/>
      <c r="I8" s="123"/>
    </row>
    <row r="9" spans="1:13">
      <c r="A9" t="s">
        <v>801</v>
      </c>
      <c r="B9" s="108">
        <f>'2122 Band Values'!N17+'2122 Band Values'!N20</f>
        <v>14694.161550335179</v>
      </c>
      <c r="C9" s="108"/>
      <c r="D9" s="108">
        <f>B9</f>
        <v>14694.161550335179</v>
      </c>
      <c r="E9" s="110">
        <f>D9-D8</f>
        <v>2944.8876234808959</v>
      </c>
      <c r="F9" t="s">
        <v>802</v>
      </c>
      <c r="H9" s="106"/>
      <c r="I9" s="123"/>
    </row>
    <row r="10" spans="1:13">
      <c r="A10" s="111" t="s">
        <v>131</v>
      </c>
      <c r="B10" s="108">
        <f>('WS - Delivery Model'!N65*0.5)+('WS - Delivery Model'!N67*2)+('WS - Delivery Model'!N65*0.5)</f>
        <v>84223.225288521528</v>
      </c>
      <c r="C10" s="108"/>
      <c r="D10" s="108"/>
      <c r="F10" t="s">
        <v>132</v>
      </c>
      <c r="H10" s="106"/>
      <c r="I10" s="123"/>
      <c r="M10" s="613"/>
    </row>
    <row r="11" spans="1:13">
      <c r="A11" s="134" t="s">
        <v>133</v>
      </c>
      <c r="B11" s="586">
        <f>(B6*B8)+(B7*B9)+B10</f>
        <v>824427.48268034135</v>
      </c>
      <c r="C11" s="586"/>
      <c r="D11" s="854">
        <f>(D6*D8)+(D7*D9)+D10</f>
        <v>925732.17767111631</v>
      </c>
      <c r="E11" s="108">
        <f>D11-B11</f>
        <v>101304.69499077497</v>
      </c>
      <c r="F11" s="68"/>
      <c r="H11" s="106"/>
      <c r="I11" s="123"/>
    </row>
    <row r="12" spans="1:13">
      <c r="B12" s="108"/>
      <c r="D12" s="108"/>
      <c r="E12" s="68"/>
      <c r="F12" s="68"/>
      <c r="H12" s="106"/>
      <c r="I12" s="123"/>
    </row>
    <row r="13" spans="1:13" ht="14.5">
      <c r="A13" s="124" t="s">
        <v>803</v>
      </c>
      <c r="B13" s="125"/>
      <c r="D13" s="138"/>
      <c r="E13" s="68"/>
      <c r="F13" s="68"/>
      <c r="H13" s="106"/>
      <c r="I13" s="123"/>
    </row>
    <row r="14" spans="1:13" ht="14.5">
      <c r="A14" s="126" t="s">
        <v>804</v>
      </c>
      <c r="B14" s="127">
        <f>'2122 Band Values'!Q26*63</f>
        <v>43043.743063124981</v>
      </c>
      <c r="D14" s="139">
        <f>'2122 Band Values'!Q26*D6+'2122 Band Values'!Q17*D7</f>
        <v>36816.394450499953</v>
      </c>
      <c r="E14" s="68"/>
      <c r="F14" s="68"/>
      <c r="H14" s="106"/>
      <c r="I14" s="123"/>
    </row>
    <row r="15" spans="1:13" ht="14.5">
      <c r="A15" s="128" t="s">
        <v>805</v>
      </c>
      <c r="B15" s="133">
        <f>'2122 Band Values'!R26*63</f>
        <v>11096.506031659399</v>
      </c>
      <c r="D15" s="140">
        <f>'2122 Band Values'!R26*D6+'2122 Band Values'!R17*D7</f>
        <v>13315.807237991232</v>
      </c>
      <c r="E15" s="68"/>
      <c r="F15" s="68"/>
      <c r="H15" s="106"/>
      <c r="I15" s="123"/>
    </row>
    <row r="16" spans="1:13" ht="14.5">
      <c r="A16" s="132"/>
      <c r="B16" s="131"/>
      <c r="D16" s="108"/>
      <c r="E16" s="68"/>
      <c r="F16" s="68"/>
      <c r="H16" s="106"/>
      <c r="I16" s="123"/>
    </row>
    <row r="17" spans="1:9" ht="14.5">
      <c r="A17" s="106" t="s">
        <v>134</v>
      </c>
      <c r="B17" s="588">
        <f>(((64940/955)+(19503/1345))*2.35*191)/4</f>
        <v>9257.5729646840173</v>
      </c>
      <c r="C17" s="123"/>
      <c r="D17" s="588">
        <f>(((64940/955)+(19503/1345))*2.35*191)/4</f>
        <v>9257.5729646840173</v>
      </c>
      <c r="E17" s="68"/>
      <c r="F17" s="608">
        <f>(B17/(191*2.35))/B5</f>
        <v>0.32738242756830127</v>
      </c>
      <c r="G17" s="606" t="s">
        <v>135</v>
      </c>
      <c r="H17" s="607"/>
      <c r="I17" s="123"/>
    </row>
    <row r="18" spans="1:9">
      <c r="A18" s="106" t="s">
        <v>806</v>
      </c>
      <c r="B18" s="123">
        <f>B11-B14-B15</f>
        <v>770287.23358555697</v>
      </c>
      <c r="C18" s="123"/>
      <c r="D18" s="123">
        <f>D11-D14-D15</f>
        <v>875599.97598262515</v>
      </c>
      <c r="E18" s="68"/>
      <c r="F18" s="68"/>
      <c r="H18" s="106"/>
      <c r="I18" s="123"/>
    </row>
    <row r="19" spans="1:9">
      <c r="A19" s="106"/>
      <c r="B19" s="123"/>
      <c r="D19" s="108"/>
      <c r="E19" s="68"/>
      <c r="F19" s="68"/>
      <c r="H19" s="106"/>
      <c r="I19" s="123"/>
    </row>
    <row r="20" spans="1:9">
      <c r="A20" s="106" t="s">
        <v>136</v>
      </c>
      <c r="B20" s="107" t="s">
        <v>137</v>
      </c>
      <c r="C20" s="107"/>
      <c r="D20" s="107" t="s">
        <v>137</v>
      </c>
      <c r="E20" s="68"/>
      <c r="F20" s="68"/>
      <c r="H20" s="106"/>
      <c r="I20" s="123"/>
    </row>
    <row r="21" spans="1:9">
      <c r="A21" s="104"/>
      <c r="B21" s="105"/>
      <c r="D21" s="108"/>
      <c r="E21" s="68"/>
      <c r="F21" s="68"/>
    </row>
    <row r="22" spans="1:9">
      <c r="A22" s="135" t="s">
        <v>139</v>
      </c>
      <c r="B22" s="136">
        <f>'Special Funding Summary'!B61</f>
        <v>360000</v>
      </c>
      <c r="C22" s="599"/>
      <c r="D22" s="600">
        <v>360000</v>
      </c>
      <c r="E22" s="68"/>
      <c r="F22" s="68"/>
      <c r="H22" s="112"/>
    </row>
    <row r="23" spans="1:9">
      <c r="A23" s="135" t="s">
        <v>141</v>
      </c>
      <c r="B23" s="136">
        <f>'Special Funding Summary'!D61</f>
        <v>110000</v>
      </c>
      <c r="C23" s="599"/>
      <c r="D23" s="600">
        <v>110000</v>
      </c>
      <c r="E23" s="68"/>
      <c r="F23" s="68"/>
      <c r="H23" s="112"/>
    </row>
    <row r="24" spans="1:9">
      <c r="A24" s="122"/>
      <c r="B24" s="122"/>
      <c r="D24" s="108"/>
      <c r="E24" s="68"/>
      <c r="F24" s="68"/>
    </row>
    <row r="25" spans="1:9">
      <c r="A25" s="109" t="s">
        <v>807</v>
      </c>
      <c r="B25" s="130">
        <f>B11+B17+B22+B23</f>
        <v>1303685.0556450253</v>
      </c>
      <c r="C25" s="130"/>
      <c r="D25" s="130">
        <f t="shared" ref="D25" si="0">D11+D17+D22+D23</f>
        <v>1404989.7506358004</v>
      </c>
      <c r="E25" s="108">
        <f>D25-B25</f>
        <v>101304.69499077508</v>
      </c>
      <c r="F25" s="108"/>
    </row>
    <row r="26" spans="1:9">
      <c r="A26" s="109"/>
      <c r="B26" s="130"/>
      <c r="D26" s="108"/>
      <c r="E26" s="68"/>
      <c r="F26" s="68"/>
    </row>
    <row r="27" spans="1:9">
      <c r="A27" s="109" t="s">
        <v>152</v>
      </c>
      <c r="B27" s="130">
        <v>10000</v>
      </c>
      <c r="D27" s="130">
        <v>10000</v>
      </c>
      <c r="E27" s="68"/>
      <c r="F27" s="68"/>
    </row>
    <row r="28" spans="1:9">
      <c r="A28" s="109" t="s">
        <v>153</v>
      </c>
      <c r="B28" s="130">
        <f>(B25-(B5*B27))/B5</f>
        <v>10693.41358166707</v>
      </c>
      <c r="D28" s="130">
        <f>(D25-(D5*D27))/D5</f>
        <v>12301.424613266674</v>
      </c>
      <c r="E28" s="68"/>
      <c r="F28" s="68"/>
    </row>
    <row r="29" spans="1:9">
      <c r="A29" s="106" t="s">
        <v>154</v>
      </c>
      <c r="B29" s="123">
        <f>SUM(B27:B28)</f>
        <v>20693.413581667068</v>
      </c>
      <c r="D29" s="123">
        <f>SUM(D27:D28)</f>
        <v>22301.424613266674</v>
      </c>
      <c r="E29" s="108">
        <f>D29-B29</f>
        <v>1608.0110315996062</v>
      </c>
    </row>
    <row r="30" spans="1:9">
      <c r="A30" s="122"/>
      <c r="B30" s="601"/>
      <c r="D30" s="108"/>
      <c r="E30" s="68"/>
      <c r="F30" s="68"/>
    </row>
    <row r="31" spans="1:9">
      <c r="A31" s="104" t="s">
        <v>143</v>
      </c>
      <c r="E31" s="68"/>
      <c r="F31" s="68"/>
    </row>
    <row r="32" spans="1:9" ht="14.5">
      <c r="A32" s="106" t="s">
        <v>808</v>
      </c>
      <c r="B32" s="587">
        <f>AVERAGE(Rates!E5:E8)</f>
        <v>6841.6</v>
      </c>
      <c r="C32" s="587"/>
      <c r="D32" s="587"/>
      <c r="E32" s="68"/>
      <c r="F32" s="68"/>
    </row>
    <row r="33" spans="1:8">
      <c r="A33" s="83" t="s">
        <v>144</v>
      </c>
      <c r="B33" s="108">
        <f>(1/4)*'WS - Delivery Model'!N77</f>
        <v>9617.7120535714275</v>
      </c>
      <c r="C33" s="108"/>
      <c r="D33" s="108"/>
      <c r="E33" s="68"/>
      <c r="F33" s="68"/>
    </row>
    <row r="34" spans="1:8">
      <c r="A34" s="83" t="s">
        <v>145</v>
      </c>
      <c r="B34" s="108">
        <f>(1/4)*'WS - Delivery Model'!N78</f>
        <v>9617.7120535714275</v>
      </c>
      <c r="C34" s="112"/>
      <c r="D34" s="108"/>
      <c r="E34" s="68"/>
      <c r="F34" s="68"/>
    </row>
    <row r="35" spans="1:8">
      <c r="A35" s="83" t="s">
        <v>146</v>
      </c>
      <c r="B35" s="108">
        <f>(1/4)*'WS - Delivery Model'!N79</f>
        <v>7050.7287946428569</v>
      </c>
      <c r="C35" s="112"/>
      <c r="D35" s="108"/>
      <c r="E35" s="68"/>
      <c r="F35" s="68"/>
    </row>
    <row r="36" spans="1:8">
      <c r="A36" s="83" t="s">
        <v>147</v>
      </c>
      <c r="B36" s="108">
        <f>('WS - Delivery Model'!N80/4)+'WS - Delivery Model'!N61/4</f>
        <v>9812.8700873362504</v>
      </c>
      <c r="C36" s="108"/>
      <c r="D36" s="108"/>
      <c r="E36" s="68"/>
      <c r="F36" s="68"/>
    </row>
    <row r="37" spans="1:8">
      <c r="B37" s="113">
        <f>SUM(B32:B36)</f>
        <v>42940.622989121955</v>
      </c>
      <c r="C37" s="108"/>
      <c r="D37" s="113">
        <f>SUM(D32:D36)</f>
        <v>0</v>
      </c>
      <c r="E37" s="68"/>
      <c r="F37" s="68"/>
    </row>
    <row r="38" spans="1:8">
      <c r="B38" s="851"/>
      <c r="E38" s="68"/>
      <c r="F38" s="68"/>
    </row>
    <row r="39" spans="1:8">
      <c r="A39" s="100" t="s">
        <v>161</v>
      </c>
      <c r="B39" s="110">
        <f>B25+B37</f>
        <v>1346625.6786341474</v>
      </c>
      <c r="C39" s="108"/>
      <c r="D39" s="108">
        <f>D25+D37</f>
        <v>1404989.7506358004</v>
      </c>
      <c r="E39" s="108">
        <f>D39-B39</f>
        <v>58364.072001653025</v>
      </c>
      <c r="F39" s="68"/>
    </row>
    <row r="40" spans="1:8">
      <c r="A40" s="109" t="s">
        <v>809</v>
      </c>
      <c r="B40" s="110">
        <v>10000</v>
      </c>
      <c r="C40" s="108"/>
      <c r="D40" s="108"/>
      <c r="E40" s="68"/>
      <c r="F40" s="68"/>
    </row>
    <row r="41" spans="1:8">
      <c r="A41" s="109" t="s">
        <v>810</v>
      </c>
      <c r="B41" s="130">
        <f>(B39-(B5*B40))/B5</f>
        <v>11375.010771970594</v>
      </c>
      <c r="C41" s="108"/>
      <c r="D41" s="108"/>
      <c r="E41" s="68"/>
      <c r="F41" s="68"/>
    </row>
    <row r="42" spans="1:8">
      <c r="A42" s="106" t="s">
        <v>811</v>
      </c>
      <c r="B42" s="110">
        <f>SUM(B40:B41)</f>
        <v>21375.010771970592</v>
      </c>
      <c r="C42" s="108"/>
      <c r="D42" s="108"/>
      <c r="E42" s="68"/>
      <c r="F42" s="68"/>
    </row>
    <row r="43" spans="1:8">
      <c r="A43" s="106" t="s">
        <v>812</v>
      </c>
      <c r="B43" s="110">
        <f>B42-B60</f>
        <v>161.76870847852842</v>
      </c>
      <c r="C43" s="108"/>
      <c r="D43" s="108"/>
      <c r="E43" s="68"/>
      <c r="F43" s="68"/>
    </row>
    <row r="44" spans="1:8">
      <c r="A44" s="106" t="s">
        <v>813</v>
      </c>
      <c r="B44" s="614">
        <f>(B42-B60)/B60</f>
        <v>7.6258361637673465E-3</v>
      </c>
      <c r="C44" s="108"/>
      <c r="D44" s="108"/>
      <c r="E44" s="68"/>
      <c r="F44" s="68"/>
    </row>
    <row r="45" spans="1:8">
      <c r="A45" s="109" t="s">
        <v>162</v>
      </c>
      <c r="B45" s="110">
        <f>B39*4</f>
        <v>5386502.7145365896</v>
      </c>
      <c r="C45" s="108"/>
      <c r="D45" s="108">
        <f>D39*4</f>
        <v>5619959.0025432017</v>
      </c>
      <c r="E45" s="108">
        <f>D45-B45</f>
        <v>233456.2880066121</v>
      </c>
      <c r="F45" s="68"/>
    </row>
    <row r="46" spans="1:8">
      <c r="A46" s="106" t="s">
        <v>814</v>
      </c>
      <c r="B46" s="108">
        <f>B45+(11*5000)</f>
        <v>5441502.7145365896</v>
      </c>
      <c r="C46" s="108"/>
      <c r="D46" s="108"/>
      <c r="E46" s="108"/>
      <c r="F46" s="68"/>
    </row>
    <row r="47" spans="1:8">
      <c r="A47" s="109"/>
      <c r="B47" s="110"/>
      <c r="C47" s="108"/>
      <c r="D47" s="108"/>
      <c r="E47" s="108"/>
      <c r="F47" s="68"/>
    </row>
    <row r="48" spans="1:8">
      <c r="A48" s="106"/>
      <c r="B48" s="108"/>
      <c r="D48" s="108"/>
      <c r="H48" s="112"/>
    </row>
    <row r="49" spans="1:7">
      <c r="A49" s="589" t="s">
        <v>815</v>
      </c>
      <c r="B49" s="590" t="s">
        <v>816</v>
      </c>
      <c r="C49" s="591"/>
      <c r="D49" s="592"/>
      <c r="F49" s="112"/>
    </row>
    <row r="50" spans="1:7">
      <c r="A50" s="593" t="s">
        <v>817</v>
      </c>
      <c r="B50" s="123">
        <f>(44424+135313)/4</f>
        <v>44934.25</v>
      </c>
      <c r="C50" s="122"/>
      <c r="D50" s="594"/>
      <c r="E50" s="853"/>
      <c r="F50" s="112"/>
    </row>
    <row r="51" spans="1:7">
      <c r="A51" s="595" t="s">
        <v>675</v>
      </c>
      <c r="B51" s="596">
        <f>B14+10727</f>
        <v>53770.743063124981</v>
      </c>
      <c r="C51" s="597"/>
      <c r="D51" s="598" t="s">
        <v>818</v>
      </c>
      <c r="F51" s="112"/>
      <c r="G51" s="908"/>
    </row>
    <row r="52" spans="1:7">
      <c r="A52" s="122"/>
      <c r="B52" s="123"/>
      <c r="C52" s="122"/>
      <c r="D52" s="141"/>
      <c r="F52" s="112"/>
      <c r="G52" s="908"/>
    </row>
    <row r="53" spans="1:7">
      <c r="A53" s="104" t="s">
        <v>819</v>
      </c>
      <c r="B53" s="108"/>
      <c r="C53" s="108"/>
      <c r="D53" s="108"/>
    </row>
    <row r="54" spans="1:7">
      <c r="A54" s="106" t="s">
        <v>820</v>
      </c>
      <c r="B54" s="108">
        <f>20500*252</f>
        <v>5166000</v>
      </c>
      <c r="C54" s="108"/>
      <c r="D54" s="108"/>
      <c r="G54" s="908"/>
    </row>
    <row r="55" spans="1:7">
      <c r="A55" s="106" t="s">
        <v>821</v>
      </c>
      <c r="B55" s="108">
        <f>44424+135313</f>
        <v>179737</v>
      </c>
      <c r="C55" s="108"/>
      <c r="D55" s="108"/>
    </row>
    <row r="56" spans="1:7" ht="15" thickBot="1">
      <c r="A56" s="106"/>
      <c r="B56" s="520">
        <f>SUM(B54:B55)</f>
        <v>5345737</v>
      </c>
      <c r="C56" s="108"/>
      <c r="D56" s="108"/>
      <c r="E56" s="582"/>
      <c r="F56" s="118"/>
    </row>
    <row r="57" spans="1:7" ht="14.5">
      <c r="A57" s="106" t="s">
        <v>822</v>
      </c>
      <c r="B57" s="108">
        <f>10000</f>
        <v>10000</v>
      </c>
      <c r="C57" s="108"/>
      <c r="D57" s="108"/>
      <c r="E57" s="584"/>
      <c r="F57" s="118"/>
    </row>
    <row r="58" spans="1:7" ht="14.5">
      <c r="A58" s="106" t="s">
        <v>153</v>
      </c>
      <c r="B58" s="108">
        <f>(B54-(B57*252))/252</f>
        <v>10500</v>
      </c>
      <c r="C58" s="108"/>
      <c r="D58" s="108"/>
      <c r="E58" s="582"/>
      <c r="F58" s="118"/>
    </row>
    <row r="59" spans="1:7">
      <c r="A59" s="106" t="s">
        <v>823</v>
      </c>
      <c r="B59" s="851">
        <f>B55/252</f>
        <v>713.24206349206349</v>
      </c>
      <c r="C59" s="108"/>
      <c r="D59" s="108"/>
      <c r="E59" s="110">
        <f>(B59-557.86)*252</f>
        <v>39156.28</v>
      </c>
      <c r="F59" t="s">
        <v>824</v>
      </c>
    </row>
    <row r="60" spans="1:7" ht="14.5">
      <c r="A60" s="109" t="s">
        <v>825</v>
      </c>
      <c r="B60" s="110">
        <f>SUM(B57:B59)</f>
        <v>21213.242063492064</v>
      </c>
      <c r="C60" s="108"/>
      <c r="D60" s="108"/>
      <c r="E60" s="582"/>
      <c r="F60" s="118"/>
    </row>
    <row r="61" spans="1:7" ht="14.5">
      <c r="A61" s="109"/>
      <c r="B61" s="110"/>
      <c r="C61" s="108"/>
      <c r="D61" s="108"/>
      <c r="E61" s="582"/>
      <c r="F61" s="118"/>
    </row>
    <row r="62" spans="1:7" ht="14.5">
      <c r="A62" s="106" t="s">
        <v>826</v>
      </c>
      <c r="B62" s="108">
        <f>11*5000</f>
        <v>55000</v>
      </c>
      <c r="C62" s="108"/>
      <c r="D62" s="108"/>
      <c r="E62" s="582"/>
      <c r="F62" s="118"/>
    </row>
    <row r="63" spans="1:7" ht="15" thickBot="1">
      <c r="A63" s="106"/>
      <c r="B63" s="852">
        <f>B56+B62</f>
        <v>5400737</v>
      </c>
      <c r="C63" s="108"/>
      <c r="D63" s="108"/>
      <c r="E63" s="582"/>
      <c r="F63" s="118"/>
    </row>
    <row r="64" spans="1:7" ht="14.5">
      <c r="A64" s="106"/>
      <c r="B64" s="110"/>
      <c r="C64" s="108"/>
      <c r="D64" s="108"/>
      <c r="E64" s="582"/>
      <c r="F64" s="118"/>
    </row>
    <row r="65" spans="1:6" ht="14.5">
      <c r="A65" s="106"/>
      <c r="B65" s="108"/>
      <c r="C65" s="108"/>
      <c r="D65" s="108"/>
      <c r="E65" s="582"/>
      <c r="F65" s="118"/>
    </row>
    <row r="66" spans="1:6">
      <c r="A66" s="106" t="s">
        <v>827</v>
      </c>
      <c r="B66" s="108">
        <f>B45-B56</f>
        <v>40765.71453658957</v>
      </c>
      <c r="C66" s="108"/>
      <c r="D66" s="108" t="s">
        <v>828</v>
      </c>
      <c r="E66" s="582"/>
      <c r="F66" s="108"/>
    </row>
    <row r="67" spans="1:6">
      <c r="A67" s="106"/>
      <c r="B67" s="108"/>
      <c r="C67" s="108"/>
      <c r="D67" s="108"/>
      <c r="E67" s="582"/>
      <c r="F67" s="108"/>
    </row>
    <row r="68" spans="1:6">
      <c r="A68" s="106"/>
      <c r="B68" s="108"/>
      <c r="C68" s="108"/>
      <c r="D68" s="108"/>
      <c r="E68" s="582"/>
      <c r="F68" s="108"/>
    </row>
    <row r="69" spans="1:6">
      <c r="A69" s="106"/>
      <c r="B69" s="108"/>
      <c r="C69" s="108"/>
      <c r="D69" s="108"/>
      <c r="E69" s="582"/>
      <c r="F69" s="108"/>
    </row>
    <row r="70" spans="1:6">
      <c r="A70" s="610" t="s">
        <v>829</v>
      </c>
      <c r="B70" s="611">
        <v>25500</v>
      </c>
      <c r="C70" s="108"/>
      <c r="D70" s="108"/>
      <c r="E70" s="582"/>
      <c r="F70" s="108"/>
    </row>
    <row r="71" spans="1:6">
      <c r="A71" s="612" t="s">
        <v>830</v>
      </c>
      <c r="B71" s="615">
        <f>(B70-B57-B58)*11</f>
        <v>55000</v>
      </c>
      <c r="C71" s="108"/>
      <c r="D71" s="108"/>
      <c r="E71" s="609" t="s">
        <v>831</v>
      </c>
      <c r="F71" s="108"/>
    </row>
    <row r="72" spans="1:6">
      <c r="A72" s="106"/>
      <c r="C72" s="108"/>
      <c r="D72" s="108"/>
      <c r="E72" s="582"/>
      <c r="F72" s="108"/>
    </row>
    <row r="73" spans="1:6">
      <c r="A73" s="106" t="s">
        <v>832</v>
      </c>
      <c r="B73" s="108">
        <f>B45+B71</f>
        <v>5441502.7145365896</v>
      </c>
      <c r="C73" s="108"/>
      <c r="D73" s="108"/>
      <c r="E73" s="582"/>
      <c r="F73" s="108"/>
    </row>
    <row r="74" spans="1:6">
      <c r="A74" s="106"/>
      <c r="B74" s="108"/>
      <c r="C74" s="108"/>
      <c r="D74" s="108"/>
      <c r="E74" s="582"/>
      <c r="F74" s="108"/>
    </row>
    <row r="75" spans="1:6">
      <c r="A75" s="106" t="s">
        <v>833</v>
      </c>
      <c r="B75" s="108">
        <f>B9-B8</f>
        <v>2944.8876234808959</v>
      </c>
      <c r="C75" s="108"/>
      <c r="D75" s="108"/>
      <c r="E75" s="582"/>
      <c r="F75" s="108"/>
    </row>
    <row r="76" spans="1:6">
      <c r="A76" s="106" t="s">
        <v>834</v>
      </c>
      <c r="B76" s="108">
        <f>B75*18</f>
        <v>53007.977222656125</v>
      </c>
      <c r="C76" s="108"/>
      <c r="D76" s="108"/>
      <c r="E76" s="582"/>
      <c r="F76" s="108"/>
    </row>
    <row r="77" spans="1:6">
      <c r="A77" s="106"/>
      <c r="B77" s="108"/>
      <c r="C77" s="108"/>
      <c r="D77" s="108"/>
      <c r="E77" s="582"/>
      <c r="F77" s="108"/>
    </row>
    <row r="78" spans="1:6">
      <c r="A78" s="106" t="s">
        <v>835</v>
      </c>
      <c r="B78" s="108"/>
      <c r="C78" s="108"/>
      <c r="D78" s="108"/>
      <c r="E78" s="582"/>
      <c r="F78" s="108"/>
    </row>
    <row r="79" spans="1:6">
      <c r="A79" s="106" t="s">
        <v>836</v>
      </c>
      <c r="B79" s="108">
        <f>B29</f>
        <v>20693.413581667068</v>
      </c>
      <c r="C79" s="108"/>
      <c r="D79" s="108"/>
      <c r="E79" s="582"/>
      <c r="F79" s="108"/>
    </row>
    <row r="80" spans="1:6">
      <c r="A80" s="106" t="s">
        <v>837</v>
      </c>
      <c r="B80" s="108">
        <f>B29+B75</f>
        <v>23638.301205147964</v>
      </c>
      <c r="C80" s="108"/>
      <c r="D80" s="108"/>
      <c r="E80" s="112" t="s">
        <v>838</v>
      </c>
      <c r="F80" s="108"/>
    </row>
    <row r="81" spans="1:5">
      <c r="A81" s="106"/>
      <c r="B81" s="108"/>
      <c r="C81" s="108"/>
      <c r="D81" s="108"/>
    </row>
    <row r="82" spans="1:5">
      <c r="A82" s="104" t="s">
        <v>839</v>
      </c>
      <c r="B82" s="108"/>
      <c r="C82" s="108"/>
      <c r="D82" s="108"/>
    </row>
    <row r="83" spans="1:5" ht="14.25" customHeight="1">
      <c r="A83" s="1126" t="s">
        <v>840</v>
      </c>
      <c r="B83" s="1126"/>
      <c r="C83" s="1126"/>
      <c r="D83" s="1126"/>
    </row>
    <row r="84" spans="1:5">
      <c r="A84" s="1126"/>
      <c r="B84" s="1126"/>
      <c r="C84" s="1126"/>
      <c r="D84" s="1126"/>
    </row>
    <row r="85" spans="1:5">
      <c r="A85" s="1126"/>
      <c r="B85" s="1126"/>
      <c r="C85" s="1126"/>
      <c r="D85" s="1126"/>
    </row>
    <row r="86" spans="1:5">
      <c r="A86" s="1126"/>
      <c r="B86" s="1126"/>
      <c r="C86" s="1126"/>
      <c r="D86" s="1126"/>
    </row>
    <row r="87" spans="1:5">
      <c r="A87" s="1125" t="s">
        <v>841</v>
      </c>
      <c r="B87" s="1125"/>
      <c r="C87" s="1125"/>
      <c r="D87" s="1125"/>
    </row>
    <row r="88" spans="1:5">
      <c r="A88" s="1126" t="s">
        <v>842</v>
      </c>
      <c r="B88" s="1126"/>
      <c r="C88" s="1126"/>
      <c r="D88" s="1126"/>
    </row>
    <row r="89" spans="1:5">
      <c r="A89" s="1126"/>
      <c r="B89" s="1126"/>
      <c r="C89" s="1126"/>
      <c r="D89" s="1126"/>
    </row>
    <row r="90" spans="1:5">
      <c r="A90" s="583"/>
      <c r="B90" s="583"/>
      <c r="C90" s="583"/>
      <c r="D90" s="583"/>
    </row>
    <row r="91" spans="1:5">
      <c r="B91" s="68"/>
    </row>
    <row r="92" spans="1:5">
      <c r="A92" s="114" t="s">
        <v>166</v>
      </c>
      <c r="B92" s="68"/>
    </row>
    <row r="93" spans="1:5" ht="14.25" customHeight="1">
      <c r="A93" s="1118" t="s">
        <v>843</v>
      </c>
      <c r="B93" s="1118"/>
      <c r="C93" s="1118"/>
      <c r="D93" s="1118"/>
      <c r="E93" s="95" t="s">
        <v>844</v>
      </c>
    </row>
    <row r="94" spans="1:5">
      <c r="A94" s="1118"/>
      <c r="B94" s="1118"/>
      <c r="C94" s="1118"/>
      <c r="D94" s="1118"/>
    </row>
    <row r="95" spans="1:5" ht="14.25" customHeight="1">
      <c r="A95" s="1118" t="s">
        <v>845</v>
      </c>
      <c r="B95" s="1118"/>
      <c r="C95" s="1118"/>
      <c r="D95" s="1118"/>
    </row>
    <row r="96" spans="1:5">
      <c r="A96" s="1118"/>
      <c r="B96" s="1118"/>
      <c r="C96" s="1118"/>
      <c r="D96" s="1118"/>
    </row>
    <row r="97" spans="1:4">
      <c r="A97" s="1118"/>
      <c r="B97" s="1118"/>
      <c r="C97" s="1118"/>
      <c r="D97" s="1118"/>
    </row>
    <row r="98" spans="1:4">
      <c r="A98" s="1118"/>
      <c r="B98" s="1118"/>
      <c r="C98" s="1118"/>
      <c r="D98" s="1118"/>
    </row>
    <row r="99" spans="1:4">
      <c r="A99" s="1118"/>
      <c r="B99" s="1118"/>
      <c r="C99" s="1118"/>
      <c r="D99" s="1118"/>
    </row>
    <row r="100" spans="1:4">
      <c r="A100" s="1118"/>
      <c r="B100" s="1118"/>
      <c r="C100" s="1118"/>
      <c r="D100" s="1118"/>
    </row>
    <row r="101" spans="1:4">
      <c r="A101" s="1118"/>
      <c r="B101" s="1118"/>
      <c r="C101" s="1118"/>
      <c r="D101" s="1118"/>
    </row>
    <row r="102" spans="1:4">
      <c r="A102" s="1118"/>
      <c r="B102" s="1118"/>
      <c r="C102" s="1118"/>
      <c r="D102" s="1118"/>
    </row>
    <row r="103" spans="1:4">
      <c r="A103" s="115"/>
      <c r="B103" s="115"/>
      <c r="C103" s="115"/>
      <c r="D103" s="115"/>
    </row>
    <row r="104" spans="1:4">
      <c r="B104" s="68"/>
    </row>
    <row r="105" spans="1:4">
      <c r="A105" s="114" t="s">
        <v>163</v>
      </c>
      <c r="B105" s="68"/>
    </row>
    <row r="106" spans="1:4" ht="14.25" customHeight="1">
      <c r="A106" s="1121" t="s">
        <v>846</v>
      </c>
      <c r="B106" s="1121"/>
      <c r="C106" s="1121"/>
      <c r="D106" s="1121"/>
    </row>
    <row r="107" spans="1:4">
      <c r="A107" s="1121" t="s">
        <v>847</v>
      </c>
      <c r="B107" s="1121"/>
      <c r="C107" s="1121"/>
      <c r="D107" s="1121"/>
    </row>
    <row r="108" spans="1:4">
      <c r="A108" s="1121" t="s">
        <v>848</v>
      </c>
      <c r="B108" s="1121"/>
      <c r="C108" s="1121"/>
      <c r="D108" s="1121"/>
    </row>
    <row r="110" spans="1:4">
      <c r="A110" s="114" t="s">
        <v>849</v>
      </c>
    </row>
    <row r="111" spans="1:4">
      <c r="A111" s="1121" t="s">
        <v>850</v>
      </c>
      <c r="B111" s="1121"/>
      <c r="C111" s="1121"/>
      <c r="D111" s="1121"/>
    </row>
    <row r="112" spans="1:4">
      <c r="A112" s="1121" t="s">
        <v>851</v>
      </c>
      <c r="B112" s="1121"/>
      <c r="C112" s="1121"/>
      <c r="D112" s="1121"/>
    </row>
    <row r="115" spans="1:1">
      <c r="A115" t="s">
        <v>852</v>
      </c>
    </row>
    <row r="116" spans="1:1">
      <c r="A116" t="s">
        <v>853</v>
      </c>
    </row>
  </sheetData>
  <mergeCells count="10">
    <mergeCell ref="A93:D94"/>
    <mergeCell ref="A95:D102"/>
    <mergeCell ref="A87:D87"/>
    <mergeCell ref="A83:D86"/>
    <mergeCell ref="A88:D89"/>
    <mergeCell ref="A106:D106"/>
    <mergeCell ref="A107:D107"/>
    <mergeCell ref="A108:D108"/>
    <mergeCell ref="A111:D111"/>
    <mergeCell ref="A112:D112"/>
  </mergeCells>
  <conditionalFormatting sqref="B51:B52">
    <cfRule type="cellIs" dxfId="1" priority="1" operator="greaterThan">
      <formula>$B$48</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E10"/>
  <sheetViews>
    <sheetView workbookViewId="0">
      <selection activeCell="E5" sqref="E5:E8"/>
    </sheetView>
  </sheetViews>
  <sheetFormatPr defaultColWidth="37.75" defaultRowHeight="14"/>
  <cols>
    <col min="1" max="1" width="41" style="122" customWidth="1"/>
    <col min="2" max="16384" width="37.75" style="122"/>
  </cols>
  <sheetData>
    <row r="2" spans="1:5">
      <c r="A2" s="122" t="s">
        <v>854</v>
      </c>
    </row>
    <row r="3" spans="1:5" ht="14.5" thickBot="1"/>
    <row r="4" spans="1:5" ht="14.5" thickBot="1">
      <c r="A4" s="514" t="s">
        <v>855</v>
      </c>
      <c r="B4" s="515" t="s">
        <v>856</v>
      </c>
      <c r="C4" s="515" t="s">
        <v>857</v>
      </c>
      <c r="D4" s="515" t="s">
        <v>858</v>
      </c>
      <c r="E4" s="515" t="s">
        <v>859</v>
      </c>
    </row>
    <row r="5" spans="1:5" ht="14.5" thickBot="1">
      <c r="A5" s="516" t="s">
        <v>860</v>
      </c>
      <c r="B5" s="517" t="s">
        <v>861</v>
      </c>
      <c r="C5" s="518">
        <v>35328</v>
      </c>
      <c r="D5" s="519">
        <v>-28262.400000000001</v>
      </c>
      <c r="E5" s="519">
        <v>7065.6</v>
      </c>
    </row>
    <row r="6" spans="1:5" ht="14.5" thickBot="1">
      <c r="A6" s="516" t="s">
        <v>434</v>
      </c>
      <c r="B6" s="517" t="s">
        <v>862</v>
      </c>
      <c r="C6" s="518">
        <v>41984</v>
      </c>
      <c r="D6" s="519">
        <v>-33587.5</v>
      </c>
      <c r="E6" s="519">
        <v>8396.7999999999993</v>
      </c>
    </row>
    <row r="7" spans="1:5" ht="14.5" thickBot="1">
      <c r="A7" s="516" t="s">
        <v>436</v>
      </c>
      <c r="B7" s="517" t="s">
        <v>863</v>
      </c>
      <c r="C7" s="518">
        <v>7808</v>
      </c>
      <c r="D7" s="519">
        <v>-6246.4</v>
      </c>
      <c r="E7" s="519">
        <v>1561.6</v>
      </c>
    </row>
    <row r="8" spans="1:5" ht="14.5" thickBot="1">
      <c r="A8" s="516" t="s">
        <v>437</v>
      </c>
      <c r="B8" s="517" t="s">
        <v>864</v>
      </c>
      <c r="C8" s="518">
        <v>51712</v>
      </c>
      <c r="D8" s="519">
        <v>-41369.599999999999</v>
      </c>
      <c r="E8" s="519">
        <v>10342.4</v>
      </c>
    </row>
    <row r="10" spans="1:5">
      <c r="E10" s="521">
        <f>SUM(E5:E8)</f>
        <v>27366.400000000001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7"/>
  <sheetViews>
    <sheetView workbookViewId="0">
      <selection activeCell="C16" sqref="C16"/>
    </sheetView>
  </sheetViews>
  <sheetFormatPr defaultRowHeight="14"/>
  <sheetData>
    <row r="2" spans="1:1">
      <c r="A2" t="s">
        <v>865</v>
      </c>
    </row>
    <row r="4" spans="1:1">
      <c r="A4" t="s">
        <v>866</v>
      </c>
    </row>
    <row r="7" spans="1:1">
      <c r="A7" t="s">
        <v>867</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X96"/>
  <sheetViews>
    <sheetView topLeftCell="E51" zoomScale="90" zoomScaleNormal="90" workbookViewId="0">
      <selection activeCell="V83" sqref="V83"/>
    </sheetView>
  </sheetViews>
  <sheetFormatPr defaultRowHeight="14"/>
  <cols>
    <col min="1" max="1" width="31.83203125" style="68" customWidth="1"/>
    <col min="2" max="2" width="16.33203125" customWidth="1"/>
    <col min="3" max="3" width="17.58203125" customWidth="1"/>
    <col min="4" max="4" width="15.83203125" customWidth="1"/>
    <col min="5" max="5" width="18" customWidth="1"/>
    <col min="6" max="6" width="15.83203125" customWidth="1"/>
    <col min="7" max="7" width="2.33203125" customWidth="1"/>
    <col min="8" max="8" width="17.25" bestFit="1" customWidth="1"/>
    <col min="9" max="9" width="15.83203125" customWidth="1"/>
    <col min="10" max="10" width="18.25" bestFit="1" customWidth="1"/>
    <col min="11" max="11" width="12" customWidth="1"/>
    <col min="12" max="12" width="3.08203125" customWidth="1"/>
    <col min="13" max="13" width="44" customWidth="1"/>
    <col min="14" max="14" width="10.83203125" bestFit="1" customWidth="1"/>
    <col min="19" max="19" width="9.83203125" style="112" bestFit="1" customWidth="1"/>
  </cols>
  <sheetData>
    <row r="1" spans="1:13" ht="23">
      <c r="A1" s="1134" t="s">
        <v>868</v>
      </c>
      <c r="B1" s="1134"/>
      <c r="C1" s="1134"/>
      <c r="D1" s="1134"/>
      <c r="E1" s="1134"/>
      <c r="F1" s="1134"/>
      <c r="G1" s="1134"/>
      <c r="H1" s="1134"/>
      <c r="I1" s="1134"/>
      <c r="J1" s="1134"/>
      <c r="K1" s="95" t="s">
        <v>869</v>
      </c>
    </row>
    <row r="2" spans="1:13">
      <c r="K2" s="95"/>
      <c r="L2" s="95"/>
      <c r="M2" s="95"/>
    </row>
    <row r="3" spans="1:13">
      <c r="A3" s="63" t="s">
        <v>870</v>
      </c>
      <c r="C3" s="1135" t="s">
        <v>871</v>
      </c>
      <c r="D3" s="1136"/>
      <c r="E3" s="1137"/>
      <c r="F3" s="64"/>
      <c r="G3" s="64"/>
      <c r="H3" s="1135" t="s">
        <v>872</v>
      </c>
      <c r="I3" s="1136"/>
      <c r="J3" s="1137"/>
      <c r="K3" s="95"/>
      <c r="L3" s="95"/>
      <c r="M3" s="95" t="s">
        <v>873</v>
      </c>
    </row>
    <row r="4" spans="1:13" ht="14.25" customHeight="1">
      <c r="A4" s="65"/>
      <c r="B4" s="1132" t="s">
        <v>874</v>
      </c>
      <c r="C4" s="66"/>
      <c r="E4" s="67"/>
      <c r="H4" s="66"/>
      <c r="J4" s="67"/>
      <c r="K4" s="95"/>
      <c r="L4" s="95"/>
      <c r="M4" s="1127" t="s">
        <v>875</v>
      </c>
    </row>
    <row r="5" spans="1:13" ht="14.25" customHeight="1">
      <c r="A5" s="96" t="s">
        <v>876</v>
      </c>
      <c r="B5" s="1132"/>
      <c r="C5" s="1129" t="s">
        <v>877</v>
      </c>
      <c r="D5" s="1130"/>
      <c r="E5" s="1131"/>
      <c r="F5" s="94" t="s">
        <v>878</v>
      </c>
      <c r="G5" s="68"/>
      <c r="H5" s="1129" t="s">
        <v>879</v>
      </c>
      <c r="I5" s="1130"/>
      <c r="J5" s="1131"/>
      <c r="K5" s="95" t="s">
        <v>880</v>
      </c>
      <c r="L5" s="95"/>
      <c r="M5" s="1127"/>
    </row>
    <row r="6" spans="1:13">
      <c r="A6" s="96" t="s">
        <v>881</v>
      </c>
      <c r="B6" s="1132"/>
      <c r="C6" s="1129" t="s">
        <v>882</v>
      </c>
      <c r="D6" s="1130"/>
      <c r="E6" s="1131"/>
      <c r="F6" s="94"/>
      <c r="G6" s="68"/>
      <c r="H6" s="1129" t="s">
        <v>882</v>
      </c>
      <c r="I6" s="1130"/>
      <c r="J6" s="1131"/>
      <c r="K6" s="95" t="s">
        <v>883</v>
      </c>
      <c r="L6" s="95"/>
      <c r="M6" s="99"/>
    </row>
    <row r="7" spans="1:13">
      <c r="A7" s="96" t="s">
        <v>884</v>
      </c>
      <c r="B7" s="1132"/>
      <c r="C7" s="1129"/>
      <c r="D7" s="1130"/>
      <c r="E7" s="1131"/>
      <c r="F7" s="94"/>
      <c r="G7" s="68"/>
      <c r="H7" s="1129"/>
      <c r="I7" s="1130"/>
      <c r="J7" s="1131"/>
      <c r="K7" s="95"/>
      <c r="L7" s="95"/>
      <c r="M7" s="1128" t="s">
        <v>885</v>
      </c>
    </row>
    <row r="8" spans="1:13">
      <c r="A8" s="96" t="s">
        <v>886</v>
      </c>
      <c r="B8" s="1132"/>
      <c r="C8" s="1129" t="s">
        <v>887</v>
      </c>
      <c r="D8" s="1130"/>
      <c r="E8" s="1131"/>
      <c r="F8" s="94" t="s">
        <v>888</v>
      </c>
      <c r="G8" s="68"/>
      <c r="H8" s="1129" t="s">
        <v>887</v>
      </c>
      <c r="I8" s="1130"/>
      <c r="J8" s="1131"/>
      <c r="K8" s="95" t="s">
        <v>888</v>
      </c>
      <c r="L8" s="95"/>
      <c r="M8" s="1128"/>
    </row>
    <row r="9" spans="1:13">
      <c r="B9" s="1132"/>
      <c r="C9" s="1129" t="s">
        <v>889</v>
      </c>
      <c r="D9" s="1130"/>
      <c r="E9" s="1131"/>
      <c r="F9" s="94"/>
      <c r="G9" s="68"/>
      <c r="H9" s="1129" t="s">
        <v>890</v>
      </c>
      <c r="I9" s="1130"/>
      <c r="J9" s="1131"/>
      <c r="K9" s="95"/>
      <c r="L9" s="95"/>
      <c r="M9" s="95"/>
    </row>
    <row r="10" spans="1:13">
      <c r="A10" s="96" t="s">
        <v>891</v>
      </c>
      <c r="B10" s="1132"/>
      <c r="C10" s="1129" t="s">
        <v>892</v>
      </c>
      <c r="D10" s="1130"/>
      <c r="E10" s="1131"/>
      <c r="F10" s="94"/>
      <c r="G10" s="68"/>
      <c r="H10" s="1129" t="s">
        <v>890</v>
      </c>
      <c r="I10" s="1130"/>
      <c r="J10" s="1131"/>
      <c r="K10" s="95"/>
      <c r="L10" s="95"/>
      <c r="M10" s="1128" t="s">
        <v>893</v>
      </c>
    </row>
    <row r="11" spans="1:13">
      <c r="A11" s="65" t="s">
        <v>894</v>
      </c>
      <c r="B11" s="95" t="s">
        <v>895</v>
      </c>
      <c r="C11" s="1129" t="s">
        <v>896</v>
      </c>
      <c r="D11" s="1130"/>
      <c r="E11" s="1131"/>
      <c r="F11" s="94"/>
      <c r="G11" s="68"/>
      <c r="H11" s="1129" t="s">
        <v>897</v>
      </c>
      <c r="I11" s="1130"/>
      <c r="J11" s="1131"/>
      <c r="K11" s="95"/>
      <c r="L11" s="95"/>
      <c r="M11" s="1128"/>
    </row>
    <row r="12" spans="1:13">
      <c r="A12" s="65" t="s">
        <v>898</v>
      </c>
      <c r="B12" s="95" t="s">
        <v>899</v>
      </c>
      <c r="C12" s="1129" t="s">
        <v>900</v>
      </c>
      <c r="D12" s="1130"/>
      <c r="E12" s="1131"/>
      <c r="F12" s="94" t="s">
        <v>901</v>
      </c>
      <c r="G12" s="68"/>
      <c r="H12" s="1129" t="s">
        <v>897</v>
      </c>
      <c r="I12" s="1130"/>
      <c r="J12" s="1131"/>
      <c r="K12" s="95"/>
      <c r="L12" s="95"/>
      <c r="M12" s="1128"/>
    </row>
    <row r="13" spans="1:13">
      <c r="A13" s="65" t="s">
        <v>144</v>
      </c>
      <c r="B13" s="95" t="s">
        <v>895</v>
      </c>
      <c r="C13" s="1129"/>
      <c r="D13" s="1130"/>
      <c r="E13" s="1131"/>
      <c r="F13" s="94"/>
      <c r="G13" s="68"/>
      <c r="H13" s="1129"/>
      <c r="I13" s="1130"/>
      <c r="J13" s="1131"/>
      <c r="K13" s="94" t="s">
        <v>895</v>
      </c>
      <c r="L13" s="95"/>
      <c r="M13" s="95"/>
    </row>
    <row r="14" spans="1:13">
      <c r="A14" s="65" t="s">
        <v>145</v>
      </c>
      <c r="B14" s="95" t="s">
        <v>895</v>
      </c>
      <c r="C14" s="1129" t="s">
        <v>902</v>
      </c>
      <c r="D14" s="1130"/>
      <c r="E14" s="1131"/>
      <c r="F14" s="94" t="s">
        <v>895</v>
      </c>
      <c r="G14" s="68"/>
      <c r="H14" s="1129" t="s">
        <v>902</v>
      </c>
      <c r="I14" s="1130"/>
      <c r="J14" s="1131"/>
      <c r="K14" s="95" t="s">
        <v>903</v>
      </c>
      <c r="L14" s="95"/>
      <c r="M14" s="95" t="s">
        <v>904</v>
      </c>
    </row>
    <row r="15" spans="1:13">
      <c r="A15" s="65" t="s">
        <v>146</v>
      </c>
      <c r="B15" s="95" t="s">
        <v>895</v>
      </c>
      <c r="C15" s="1129" t="s">
        <v>905</v>
      </c>
      <c r="D15" s="1130"/>
      <c r="E15" s="1131"/>
      <c r="F15" s="1133" t="s">
        <v>906</v>
      </c>
      <c r="G15" s="68"/>
      <c r="H15" s="1129" t="s">
        <v>905</v>
      </c>
      <c r="I15" s="1130"/>
      <c r="J15" s="1131"/>
      <c r="K15" s="1133" t="s">
        <v>907</v>
      </c>
      <c r="L15" s="95"/>
      <c r="M15" s="95"/>
    </row>
    <row r="16" spans="1:13">
      <c r="A16" s="65"/>
      <c r="C16" s="1129" t="s">
        <v>905</v>
      </c>
      <c r="D16" s="1130"/>
      <c r="E16" s="1131"/>
      <c r="F16" s="1133"/>
      <c r="G16" s="68"/>
      <c r="H16" s="1129" t="s">
        <v>905</v>
      </c>
      <c r="I16" s="1130"/>
      <c r="J16" s="1131"/>
      <c r="K16" s="1133"/>
      <c r="L16" s="95"/>
      <c r="M16" s="1128" t="s">
        <v>908</v>
      </c>
    </row>
    <row r="17" spans="1:13">
      <c r="A17" s="97" t="s">
        <v>909</v>
      </c>
      <c r="C17" s="1129" t="s">
        <v>905</v>
      </c>
      <c r="D17" s="1130"/>
      <c r="E17" s="1131"/>
      <c r="F17" s="1133"/>
      <c r="G17" s="68"/>
      <c r="H17" s="1129" t="s">
        <v>905</v>
      </c>
      <c r="I17" s="1130"/>
      <c r="J17" s="1131"/>
      <c r="K17" s="1133"/>
      <c r="L17" s="95"/>
      <c r="M17" s="1128"/>
    </row>
    <row r="18" spans="1:13">
      <c r="A18" s="96"/>
      <c r="C18" s="1129" t="s">
        <v>905</v>
      </c>
      <c r="D18" s="1130"/>
      <c r="E18" s="1131"/>
      <c r="F18" s="1133" t="s">
        <v>910</v>
      </c>
      <c r="G18" s="68"/>
      <c r="H18" s="1129" t="s">
        <v>905</v>
      </c>
      <c r="I18" s="1130"/>
      <c r="J18" s="1131"/>
      <c r="K18" s="1133"/>
      <c r="L18" s="95"/>
      <c r="M18" s="1128"/>
    </row>
    <row r="19" spans="1:13">
      <c r="A19" s="96" t="s">
        <v>911</v>
      </c>
      <c r="B19" s="1138" t="s">
        <v>912</v>
      </c>
      <c r="C19" s="1129" t="s">
        <v>905</v>
      </c>
      <c r="D19" s="1130"/>
      <c r="E19" s="1131"/>
      <c r="F19" s="1133"/>
      <c r="G19" s="68"/>
      <c r="H19" s="1129" t="s">
        <v>905</v>
      </c>
      <c r="I19" s="1130"/>
      <c r="J19" s="1131"/>
      <c r="K19" s="1133" t="s">
        <v>913</v>
      </c>
      <c r="L19" s="95"/>
      <c r="M19" s="1128"/>
    </row>
    <row r="20" spans="1:13">
      <c r="A20" s="96" t="s">
        <v>911</v>
      </c>
      <c r="B20" s="1138"/>
      <c r="C20" s="1129" t="s">
        <v>905</v>
      </c>
      <c r="D20" s="1130"/>
      <c r="E20" s="1131"/>
      <c r="F20" s="1133"/>
      <c r="G20" s="68"/>
      <c r="H20" s="1129" t="s">
        <v>905</v>
      </c>
      <c r="I20" s="1130"/>
      <c r="J20" s="1131"/>
      <c r="K20" s="1133"/>
      <c r="L20" s="95"/>
      <c r="M20" s="95"/>
    </row>
    <row r="21" spans="1:13">
      <c r="A21" s="96" t="s">
        <v>911</v>
      </c>
      <c r="B21" s="1138"/>
      <c r="C21" s="69"/>
      <c r="D21" s="68"/>
      <c r="E21" s="70"/>
      <c r="F21" s="94"/>
      <c r="G21" s="68"/>
      <c r="H21" s="1129" t="s">
        <v>905</v>
      </c>
      <c r="I21" s="1130"/>
      <c r="J21" s="1131"/>
      <c r="K21" s="1133"/>
      <c r="L21" s="95"/>
      <c r="M21" s="1128" t="s">
        <v>914</v>
      </c>
    </row>
    <row r="22" spans="1:13">
      <c r="A22" s="96" t="s">
        <v>911</v>
      </c>
      <c r="B22" s="1138"/>
      <c r="C22" s="69"/>
      <c r="D22" s="68"/>
      <c r="E22" s="70"/>
      <c r="F22" s="68"/>
      <c r="G22" s="68"/>
      <c r="H22" s="1129" t="s">
        <v>905</v>
      </c>
      <c r="I22" s="1130"/>
      <c r="J22" s="1131"/>
      <c r="K22" s="1133"/>
      <c r="L22" s="95"/>
      <c r="M22" s="1128"/>
    </row>
    <row r="23" spans="1:13">
      <c r="A23" s="96" t="s">
        <v>901</v>
      </c>
      <c r="B23" s="1138"/>
      <c r="C23" s="71"/>
      <c r="D23" s="90"/>
      <c r="E23" s="72"/>
      <c r="H23" s="71"/>
      <c r="I23" s="90"/>
      <c r="J23" s="72"/>
      <c r="M23" s="1128"/>
    </row>
    <row r="24" spans="1:13">
      <c r="A24" s="96" t="s">
        <v>901</v>
      </c>
      <c r="B24" s="1138"/>
      <c r="C24" s="63" t="s">
        <v>915</v>
      </c>
      <c r="D24" s="63"/>
      <c r="E24" s="63" t="s">
        <v>910</v>
      </c>
      <c r="F24" s="64"/>
      <c r="G24" s="64"/>
      <c r="H24" s="63" t="s">
        <v>907</v>
      </c>
      <c r="I24" s="63"/>
      <c r="J24" s="63" t="s">
        <v>913</v>
      </c>
    </row>
    <row r="25" spans="1:13">
      <c r="A25" s="96" t="s">
        <v>901</v>
      </c>
      <c r="B25" s="1138"/>
      <c r="C25" s="65"/>
      <c r="D25" s="65"/>
      <c r="E25" s="65"/>
      <c r="F25" s="68"/>
      <c r="G25" s="68"/>
      <c r="H25" s="65"/>
      <c r="I25" s="65"/>
      <c r="J25" s="65"/>
    </row>
    <row r="26" spans="1:13">
      <c r="A26" s="65"/>
      <c r="C26" s="65" t="s">
        <v>916</v>
      </c>
      <c r="D26" s="93" t="s">
        <v>917</v>
      </c>
      <c r="E26" s="65" t="s">
        <v>916</v>
      </c>
      <c r="F26" s="94" t="s">
        <v>917</v>
      </c>
      <c r="G26" s="68"/>
      <c r="H26" s="65" t="s">
        <v>918</v>
      </c>
      <c r="I26" s="93" t="s">
        <v>919</v>
      </c>
      <c r="J26" s="65" t="s">
        <v>920</v>
      </c>
      <c r="K26" s="94"/>
    </row>
    <row r="27" spans="1:13">
      <c r="A27" s="65"/>
      <c r="C27" s="65" t="s">
        <v>921</v>
      </c>
      <c r="D27" s="93" t="s">
        <v>188</v>
      </c>
      <c r="E27" s="65" t="s">
        <v>922</v>
      </c>
      <c r="F27" s="94" t="s">
        <v>188</v>
      </c>
      <c r="G27" s="68"/>
      <c r="H27" s="65" t="s">
        <v>923</v>
      </c>
      <c r="I27" s="93" t="s">
        <v>924</v>
      </c>
      <c r="J27" s="65" t="s">
        <v>925</v>
      </c>
      <c r="K27" s="94" t="s">
        <v>926</v>
      </c>
    </row>
    <row r="28" spans="1:13">
      <c r="A28" s="65"/>
      <c r="C28" s="65" t="s">
        <v>911</v>
      </c>
      <c r="D28" s="1139" t="s">
        <v>927</v>
      </c>
      <c r="E28" s="65" t="s">
        <v>911</v>
      </c>
      <c r="F28" s="1133" t="s">
        <v>928</v>
      </c>
      <c r="G28" s="68"/>
      <c r="H28" s="65" t="s">
        <v>911</v>
      </c>
      <c r="I28" s="1133" t="s">
        <v>928</v>
      </c>
      <c r="J28" s="65" t="s">
        <v>911</v>
      </c>
      <c r="K28" s="1133" t="s">
        <v>928</v>
      </c>
    </row>
    <row r="29" spans="1:13">
      <c r="A29" s="65"/>
      <c r="C29" s="65" t="s">
        <v>911</v>
      </c>
      <c r="D29" s="1139"/>
      <c r="E29" s="65" t="s">
        <v>911</v>
      </c>
      <c r="F29" s="1133"/>
      <c r="G29" s="68"/>
      <c r="H29" s="65" t="s">
        <v>911</v>
      </c>
      <c r="I29" s="1133"/>
      <c r="J29" s="65" t="s">
        <v>911</v>
      </c>
      <c r="K29" s="1133"/>
    </row>
    <row r="30" spans="1:13">
      <c r="A30" s="98"/>
      <c r="C30" s="65" t="s">
        <v>911</v>
      </c>
      <c r="D30" s="1139"/>
      <c r="E30" s="65" t="s">
        <v>911</v>
      </c>
      <c r="F30" s="1133"/>
      <c r="G30" s="68"/>
      <c r="H30" s="65" t="s">
        <v>911</v>
      </c>
      <c r="I30" s="1133"/>
      <c r="J30" s="65" t="s">
        <v>911</v>
      </c>
      <c r="K30" s="1133"/>
    </row>
    <row r="31" spans="1:13">
      <c r="A31" s="65"/>
      <c r="C31" s="65" t="s">
        <v>911</v>
      </c>
      <c r="D31" s="1139"/>
      <c r="E31" s="65" t="s">
        <v>911</v>
      </c>
      <c r="F31" s="83"/>
      <c r="G31" s="68"/>
      <c r="H31" s="65" t="s">
        <v>911</v>
      </c>
      <c r="I31" s="91"/>
      <c r="J31" s="65" t="s">
        <v>911</v>
      </c>
      <c r="K31" s="83"/>
    </row>
    <row r="32" spans="1:13">
      <c r="A32" s="65"/>
      <c r="C32" s="65" t="s">
        <v>911</v>
      </c>
      <c r="D32" s="91"/>
      <c r="E32" s="65" t="s">
        <v>911</v>
      </c>
      <c r="F32" s="83"/>
      <c r="G32" s="68"/>
      <c r="H32" s="65" t="s">
        <v>911</v>
      </c>
      <c r="I32" s="91"/>
      <c r="J32" s="65" t="s">
        <v>911</v>
      </c>
      <c r="K32" s="83"/>
    </row>
    <row r="33" spans="1:11">
      <c r="A33" s="65"/>
      <c r="C33" s="65" t="s">
        <v>911</v>
      </c>
      <c r="D33" s="91"/>
      <c r="E33" s="65" t="s">
        <v>911</v>
      </c>
      <c r="F33" s="83"/>
      <c r="G33" s="68"/>
      <c r="H33" s="65" t="s">
        <v>911</v>
      </c>
      <c r="I33" s="91"/>
      <c r="J33" s="65" t="s">
        <v>911</v>
      </c>
      <c r="K33" s="83"/>
    </row>
    <row r="34" spans="1:11">
      <c r="A34" s="65"/>
      <c r="C34" s="65" t="s">
        <v>911</v>
      </c>
      <c r="D34" s="91"/>
      <c r="E34" s="65" t="s">
        <v>911</v>
      </c>
      <c r="F34" s="83"/>
      <c r="G34" s="68"/>
      <c r="H34" s="65" t="s">
        <v>911</v>
      </c>
      <c r="I34" s="91"/>
      <c r="J34" s="65" t="s">
        <v>911</v>
      </c>
      <c r="K34" s="83"/>
    </row>
    <row r="35" spans="1:11">
      <c r="A35" s="65"/>
      <c r="C35" s="65" t="s">
        <v>929</v>
      </c>
      <c r="D35" s="91"/>
      <c r="E35" s="65" t="s">
        <v>929</v>
      </c>
      <c r="F35" s="83"/>
      <c r="G35" s="68"/>
      <c r="H35" s="65" t="s">
        <v>929</v>
      </c>
      <c r="I35" s="93" t="s">
        <v>930</v>
      </c>
      <c r="J35" s="65" t="s">
        <v>929</v>
      </c>
      <c r="K35" s="94" t="s">
        <v>930</v>
      </c>
    </row>
    <row r="36" spans="1:11">
      <c r="A36" s="65"/>
      <c r="C36" s="65" t="s">
        <v>931</v>
      </c>
      <c r="D36" s="91"/>
      <c r="E36" s="65" t="s">
        <v>931</v>
      </c>
      <c r="F36" s="83"/>
      <c r="G36" s="68"/>
      <c r="H36" s="65" t="s">
        <v>931</v>
      </c>
      <c r="I36" s="91"/>
      <c r="J36" s="65" t="s">
        <v>931</v>
      </c>
      <c r="K36" s="83"/>
    </row>
    <row r="37" spans="1:11">
      <c r="A37" s="65"/>
      <c r="C37" s="65" t="s">
        <v>931</v>
      </c>
      <c r="D37" s="91"/>
      <c r="E37" s="65" t="s">
        <v>931</v>
      </c>
      <c r="F37" s="83"/>
      <c r="G37" s="68"/>
      <c r="H37" s="65" t="s">
        <v>931</v>
      </c>
      <c r="I37" s="91"/>
      <c r="J37" s="65" t="s">
        <v>931</v>
      </c>
      <c r="K37" s="83"/>
    </row>
    <row r="38" spans="1:11">
      <c r="A38" s="65"/>
      <c r="C38" s="65" t="s">
        <v>931</v>
      </c>
      <c r="D38" s="91"/>
      <c r="E38" s="65" t="s">
        <v>931</v>
      </c>
      <c r="F38" s="83"/>
      <c r="G38" s="68"/>
      <c r="H38" s="65" t="s">
        <v>931</v>
      </c>
      <c r="I38" s="91"/>
      <c r="J38" s="65" t="s">
        <v>931</v>
      </c>
      <c r="K38" s="83"/>
    </row>
    <row r="39" spans="1:11">
      <c r="A39" s="65"/>
      <c r="C39" s="65" t="s">
        <v>931</v>
      </c>
      <c r="D39" s="91"/>
      <c r="E39" s="65" t="s">
        <v>932</v>
      </c>
      <c r="F39" s="83"/>
      <c r="G39" s="68"/>
      <c r="H39" s="65" t="s">
        <v>932</v>
      </c>
      <c r="I39" s="91"/>
      <c r="J39" s="65" t="s">
        <v>932</v>
      </c>
      <c r="K39" s="83"/>
    </row>
    <row r="40" spans="1:11">
      <c r="A40" s="65"/>
      <c r="C40" s="65" t="s">
        <v>932</v>
      </c>
      <c r="D40" s="91"/>
      <c r="E40" s="65" t="s">
        <v>932</v>
      </c>
      <c r="F40" s="83"/>
      <c r="G40" s="68"/>
      <c r="H40" s="65" t="s">
        <v>932</v>
      </c>
      <c r="I40" s="91"/>
      <c r="J40" s="65" t="s">
        <v>932</v>
      </c>
      <c r="K40" s="83"/>
    </row>
    <row r="41" spans="1:11">
      <c r="A41" s="65"/>
      <c r="C41" s="65" t="s">
        <v>932</v>
      </c>
      <c r="D41" s="91"/>
      <c r="E41" s="65" t="s">
        <v>932</v>
      </c>
      <c r="F41" s="83"/>
      <c r="G41" s="68"/>
      <c r="H41" s="65" t="s">
        <v>932</v>
      </c>
      <c r="I41" s="91"/>
      <c r="J41" s="65" t="s">
        <v>932</v>
      </c>
      <c r="K41" s="83"/>
    </row>
    <row r="42" spans="1:11">
      <c r="A42" s="65"/>
      <c r="C42" s="65" t="s">
        <v>932</v>
      </c>
      <c r="D42" s="91"/>
      <c r="E42" s="65" t="s">
        <v>932</v>
      </c>
      <c r="F42" s="83"/>
      <c r="G42" s="68"/>
      <c r="H42" s="65" t="s">
        <v>932</v>
      </c>
      <c r="I42" s="91"/>
      <c r="J42" s="65" t="s">
        <v>932</v>
      </c>
      <c r="K42" s="83"/>
    </row>
    <row r="43" spans="1:11">
      <c r="A43" s="65"/>
      <c r="C43" s="65" t="s">
        <v>932</v>
      </c>
      <c r="D43" s="91"/>
      <c r="E43" s="65" t="s">
        <v>932</v>
      </c>
      <c r="F43" s="83"/>
      <c r="G43" s="68"/>
      <c r="H43" s="65" t="s">
        <v>932</v>
      </c>
      <c r="I43" s="91"/>
      <c r="J43" s="65" t="s">
        <v>932</v>
      </c>
      <c r="K43" s="83"/>
    </row>
    <row r="44" spans="1:11">
      <c r="A44" s="65"/>
      <c r="C44" s="65" t="s">
        <v>932</v>
      </c>
      <c r="D44" s="91"/>
      <c r="E44" s="65" t="s">
        <v>932</v>
      </c>
      <c r="F44" s="83"/>
      <c r="G44" s="68"/>
      <c r="H44" s="65" t="s">
        <v>932</v>
      </c>
      <c r="I44" s="91"/>
      <c r="J44" s="65" t="s">
        <v>932</v>
      </c>
      <c r="K44" s="83"/>
    </row>
    <row r="45" spans="1:11">
      <c r="A45" s="65"/>
      <c r="C45" s="65" t="s">
        <v>932</v>
      </c>
      <c r="D45" s="91"/>
      <c r="E45" s="65" t="s">
        <v>932</v>
      </c>
      <c r="F45" s="83"/>
      <c r="G45" s="68"/>
      <c r="H45" s="65" t="s">
        <v>932</v>
      </c>
      <c r="I45" s="91"/>
      <c r="J45" s="65" t="s">
        <v>932</v>
      </c>
      <c r="K45" s="83"/>
    </row>
    <row r="46" spans="1:11">
      <c r="A46" s="65"/>
      <c r="C46" s="65" t="s">
        <v>932</v>
      </c>
      <c r="D46" s="91"/>
      <c r="E46" s="65" t="s">
        <v>932</v>
      </c>
      <c r="F46" s="83"/>
      <c r="G46" s="68"/>
      <c r="H46" s="65" t="s">
        <v>932</v>
      </c>
      <c r="I46" s="91"/>
      <c r="J46" s="65" t="s">
        <v>932</v>
      </c>
      <c r="K46" s="83"/>
    </row>
    <row r="47" spans="1:11">
      <c r="A47" s="65"/>
      <c r="C47" s="65" t="s">
        <v>932</v>
      </c>
      <c r="D47" s="91"/>
      <c r="E47" s="65" t="s">
        <v>933</v>
      </c>
      <c r="F47" s="83"/>
      <c r="G47" s="68"/>
      <c r="H47" s="65" t="s">
        <v>933</v>
      </c>
      <c r="I47" s="91"/>
      <c r="J47" s="65" t="s">
        <v>933</v>
      </c>
      <c r="K47" s="83"/>
    </row>
    <row r="48" spans="1:11">
      <c r="A48" s="65"/>
      <c r="C48" s="65" t="s">
        <v>932</v>
      </c>
      <c r="D48" s="91"/>
      <c r="E48" s="65" t="s">
        <v>934</v>
      </c>
      <c r="F48" s="83"/>
      <c r="G48" s="68"/>
      <c r="H48" s="65" t="s">
        <v>934</v>
      </c>
      <c r="I48" s="91"/>
      <c r="J48" s="65" t="s">
        <v>934</v>
      </c>
      <c r="K48" s="83"/>
    </row>
    <row r="49" spans="1:24">
      <c r="A49" s="65"/>
      <c r="C49" s="65" t="s">
        <v>933</v>
      </c>
      <c r="D49" s="91"/>
      <c r="E49" s="65"/>
      <c r="F49" s="83"/>
      <c r="G49" s="68"/>
      <c r="H49" s="65"/>
      <c r="I49" s="91"/>
      <c r="J49" s="65"/>
      <c r="K49" s="83"/>
    </row>
    <row r="50" spans="1:24">
      <c r="A50" s="65"/>
      <c r="C50" s="65" t="s">
        <v>934</v>
      </c>
      <c r="D50" s="91"/>
      <c r="E50" s="65"/>
      <c r="F50" s="83"/>
      <c r="G50" s="68"/>
      <c r="H50" s="65"/>
      <c r="I50" s="91"/>
      <c r="J50" s="65"/>
      <c r="K50" s="83"/>
    </row>
    <row r="51" spans="1:24">
      <c r="A51" s="73"/>
      <c r="C51" s="74"/>
      <c r="D51" s="74"/>
      <c r="E51" s="74"/>
      <c r="F51" s="83"/>
      <c r="H51" s="74"/>
      <c r="I51" s="92"/>
      <c r="J51" s="74"/>
      <c r="K51" s="83"/>
    </row>
    <row r="54" spans="1:24">
      <c r="A54" s="100" t="s">
        <v>935</v>
      </c>
      <c r="F54" s="95" t="s">
        <v>873</v>
      </c>
    </row>
    <row r="55" spans="1:24" ht="14.25" customHeight="1">
      <c r="A55" s="1118" t="s">
        <v>936</v>
      </c>
      <c r="B55" s="1118"/>
      <c r="C55" s="1118"/>
      <c r="D55" s="1118"/>
      <c r="E55" s="1118"/>
      <c r="F55" s="1141" t="s">
        <v>937</v>
      </c>
      <c r="G55" s="1141"/>
      <c r="H55" s="1141"/>
      <c r="I55" s="1141"/>
      <c r="J55" s="1141"/>
      <c r="K55" s="1141"/>
      <c r="M55" s="114" t="s">
        <v>938</v>
      </c>
    </row>
    <row r="56" spans="1:24">
      <c r="A56" s="1118"/>
      <c r="B56" s="1118"/>
      <c r="C56" s="1118"/>
      <c r="D56" s="1118"/>
      <c r="E56" s="1118"/>
      <c r="F56" s="1141"/>
      <c r="G56" s="1141"/>
      <c r="H56" s="1141"/>
      <c r="I56" s="1141"/>
      <c r="J56" s="1141"/>
      <c r="K56" s="1141"/>
      <c r="M56" t="s">
        <v>939</v>
      </c>
      <c r="N56" s="108">
        <f>(4000*0.45)*3</f>
        <v>5400</v>
      </c>
    </row>
    <row r="57" spans="1:24">
      <c r="A57" s="1118"/>
      <c r="B57" s="1118"/>
      <c r="C57" s="1118"/>
      <c r="D57" s="1118"/>
      <c r="E57" s="1118"/>
      <c r="F57" s="1141"/>
      <c r="G57" s="1141"/>
      <c r="H57" s="1141"/>
      <c r="I57" s="1141"/>
      <c r="J57" s="1141"/>
      <c r="K57" s="1141"/>
      <c r="M57" s="114" t="s">
        <v>940</v>
      </c>
      <c r="N57" s="112"/>
    </row>
    <row r="58" spans="1:24">
      <c r="A58" s="1118"/>
      <c r="B58" s="1118"/>
      <c r="C58" s="1118"/>
      <c r="D58" s="1118"/>
      <c r="E58" s="1118"/>
      <c r="F58" s="1141"/>
      <c r="G58" s="1141"/>
      <c r="H58" s="1141"/>
      <c r="I58" s="1141"/>
      <c r="J58" s="1141"/>
      <c r="K58" s="1141"/>
      <c r="M58" t="s">
        <v>941</v>
      </c>
      <c r="N58" s="108">
        <f>(6000*0.45)*4</f>
        <v>10800</v>
      </c>
    </row>
    <row r="59" spans="1:24">
      <c r="A59" s="1118"/>
      <c r="B59" s="1118"/>
      <c r="C59" s="1118"/>
      <c r="D59" s="1118"/>
      <c r="E59" s="1118"/>
      <c r="F59" s="1141"/>
      <c r="G59" s="1141"/>
      <c r="H59" s="1141"/>
      <c r="I59" s="1141"/>
      <c r="J59" s="1141"/>
      <c r="K59" s="1141"/>
      <c r="N59" s="116">
        <f>SUM(N56:N58)</f>
        <v>16200</v>
      </c>
    </row>
    <row r="60" spans="1:24">
      <c r="A60" s="1118"/>
      <c r="B60" s="1118"/>
      <c r="C60" s="1118"/>
      <c r="D60" s="1118"/>
      <c r="E60" s="1118"/>
      <c r="F60" s="1141"/>
      <c r="G60" s="1141"/>
      <c r="H60" s="1141"/>
      <c r="I60" s="1141"/>
      <c r="J60" s="1141"/>
      <c r="K60" s="1141"/>
      <c r="M60" s="76"/>
    </row>
    <row r="61" spans="1:24">
      <c r="A61" s="1118"/>
      <c r="B61" s="1118"/>
      <c r="C61" s="1118"/>
      <c r="D61" s="1118"/>
      <c r="E61" s="1118"/>
      <c r="F61" s="1141"/>
      <c r="G61" s="1141"/>
      <c r="H61" s="1141"/>
      <c r="I61" s="1141"/>
      <c r="J61" s="1141"/>
      <c r="K61" s="1141"/>
      <c r="N61" s="110">
        <f>N59*1.03</f>
        <v>16686</v>
      </c>
    </row>
    <row r="62" spans="1:24">
      <c r="A62" s="1118"/>
      <c r="B62" s="1118"/>
      <c r="C62" s="1118"/>
      <c r="D62" s="1118"/>
      <c r="E62" s="1118"/>
      <c r="F62" s="1141"/>
      <c r="G62" s="1141"/>
      <c r="H62" s="1141"/>
      <c r="I62" s="1141"/>
      <c r="J62" s="1141"/>
      <c r="K62" s="1141"/>
      <c r="N62" s="585"/>
      <c r="U62" s="68" t="s">
        <v>944</v>
      </c>
      <c r="V62" s="76">
        <f>195/224</f>
        <v>0.8705357142857143</v>
      </c>
    </row>
    <row r="63" spans="1:24">
      <c r="A63" s="1118"/>
      <c r="B63" s="1118"/>
      <c r="C63" s="1118"/>
      <c r="D63" s="1118"/>
      <c r="E63" s="1118"/>
      <c r="F63" s="1141"/>
      <c r="G63" s="1141"/>
      <c r="H63" s="1141"/>
      <c r="I63" s="1141"/>
      <c r="J63" s="1141"/>
      <c r="K63" s="1141"/>
    </row>
    <row r="64" spans="1:24">
      <c r="A64" s="79"/>
      <c r="B64" s="79"/>
      <c r="C64" s="79"/>
      <c r="D64" s="79"/>
      <c r="E64" s="79"/>
      <c r="N64" s="68" t="s">
        <v>942</v>
      </c>
      <c r="S64" s="108" t="s">
        <v>943</v>
      </c>
      <c r="U64" s="64" t="s">
        <v>1404</v>
      </c>
      <c r="V64" s="64" t="s">
        <v>994</v>
      </c>
      <c r="W64" s="64" t="s">
        <v>706</v>
      </c>
      <c r="X64" s="64" t="s">
        <v>77</v>
      </c>
    </row>
    <row r="65" spans="1:24" ht="14.25" customHeight="1">
      <c r="A65" s="1118" t="s">
        <v>945</v>
      </c>
      <c r="B65" s="1118"/>
      <c r="C65" s="1118"/>
      <c r="D65" s="1118"/>
      <c r="E65" s="1118"/>
      <c r="F65" s="1128" t="s">
        <v>946</v>
      </c>
      <c r="G65" s="1128"/>
      <c r="H65" s="1128"/>
      <c r="I65" s="1128"/>
      <c r="J65" s="1128"/>
      <c r="K65" s="1128"/>
      <c r="M65" s="247" t="s">
        <v>947</v>
      </c>
      <c r="N65" s="248">
        <f>'GLEA SCALE'!K65+490</f>
        <v>38470.84821428571</v>
      </c>
      <c r="O65" s="247" t="s">
        <v>948</v>
      </c>
      <c r="P65" s="247"/>
      <c r="Q65" s="249"/>
      <c r="S65" s="108">
        <f>ROUND((SUM('GLEA SCALE'!K68+490)*1.03),-1)</f>
        <v>40730</v>
      </c>
      <c r="U65" s="108">
        <f>'GLEA 2324'!E40*V62</f>
        <v>31903.392857142859</v>
      </c>
      <c r="V65" s="108">
        <v>3147</v>
      </c>
      <c r="W65" s="108">
        <v>7689</v>
      </c>
      <c r="X65" s="1086">
        <f>SUM(U65:W65)</f>
        <v>42739.392857142855</v>
      </c>
    </row>
    <row r="66" spans="1:24">
      <c r="A66" s="1118"/>
      <c r="B66" s="1118"/>
      <c r="C66" s="1118"/>
      <c r="D66" s="1118"/>
      <c r="E66" s="1118"/>
      <c r="F66" s="1128"/>
      <c r="G66" s="1128"/>
      <c r="H66" s="1128"/>
      <c r="I66" s="1128"/>
      <c r="J66" s="1128"/>
      <c r="K66" s="1128"/>
      <c r="M66" s="247" t="s">
        <v>949</v>
      </c>
      <c r="N66" s="248">
        <f>'2122 TA Pay Scales'!L27+490</f>
        <v>26013.797379912667</v>
      </c>
      <c r="O66" s="247" t="s">
        <v>950</v>
      </c>
      <c r="P66" s="247"/>
      <c r="Q66" s="249"/>
      <c r="S66" s="108">
        <f>ROUND((SUM('2122 TA Pay Scales'!L56+490)*1.03),-1)</f>
        <v>27750</v>
      </c>
      <c r="V66" s="108"/>
      <c r="W66" s="108"/>
      <c r="X66" s="1086">
        <f>'2425 TA Pay Scales'!L27</f>
        <v>31535.88157894737</v>
      </c>
    </row>
    <row r="67" spans="1:24">
      <c r="A67" s="1118"/>
      <c r="B67" s="1118"/>
      <c r="C67" s="1118"/>
      <c r="D67" s="1118"/>
      <c r="E67" s="1118"/>
      <c r="F67" s="1128"/>
      <c r="G67" s="1128"/>
      <c r="H67" s="1128"/>
      <c r="I67" s="1128"/>
      <c r="J67" s="1128"/>
      <c r="K67" s="1128"/>
      <c r="M67" s="247" t="s">
        <v>951</v>
      </c>
      <c r="N67" s="602">
        <f>'2122 TA Pay Scales'!L40+490</f>
        <v>22876.188537117905</v>
      </c>
      <c r="O67" s="247" t="s">
        <v>950</v>
      </c>
      <c r="P67" s="249"/>
      <c r="Q67" s="249"/>
      <c r="S67" s="108">
        <f>ROUND((SUM('2122 TA Pay Scales'!L69+490)*1.03),-1)</f>
        <v>24410</v>
      </c>
      <c r="V67" s="108"/>
      <c r="W67" s="108"/>
      <c r="X67" s="1086">
        <f>'2425 TA Pay Scales'!L24</f>
        <v>28369.355263157893</v>
      </c>
    </row>
    <row r="68" spans="1:24">
      <c r="A68" s="1118"/>
      <c r="B68" s="1118"/>
      <c r="C68" s="1118"/>
      <c r="D68" s="1118"/>
      <c r="E68" s="1118"/>
      <c r="F68" s="1128"/>
      <c r="G68" s="1128"/>
      <c r="H68" s="1128"/>
      <c r="I68" s="1128"/>
      <c r="J68" s="1128"/>
      <c r="K68" s="1128"/>
      <c r="S68" s="108"/>
    </row>
    <row r="69" spans="1:24">
      <c r="A69" s="79"/>
      <c r="B69" s="79"/>
      <c r="C69" s="79"/>
      <c r="D69" s="79"/>
      <c r="E69" s="79"/>
      <c r="F69" s="1128"/>
      <c r="G69" s="1128"/>
      <c r="H69" s="1128"/>
      <c r="I69" s="1128"/>
      <c r="J69" s="1128"/>
      <c r="K69" s="1128"/>
      <c r="S69" s="108"/>
    </row>
    <row r="70" spans="1:24">
      <c r="F70" s="1128"/>
      <c r="G70" s="1128"/>
      <c r="H70" s="1128"/>
      <c r="I70" s="1128"/>
      <c r="J70" s="1128"/>
      <c r="K70" s="1128"/>
      <c r="S70" s="108"/>
    </row>
    <row r="71" spans="1:24">
      <c r="F71" s="1128"/>
      <c r="G71" s="1128"/>
      <c r="H71" s="1128"/>
      <c r="I71" s="1128"/>
      <c r="J71" s="1128"/>
      <c r="K71" s="1128"/>
      <c r="S71" s="108"/>
    </row>
    <row r="72" spans="1:24">
      <c r="F72" s="1128"/>
      <c r="G72" s="1128"/>
      <c r="H72" s="1128"/>
      <c r="I72" s="1128"/>
      <c r="J72" s="1128"/>
      <c r="K72" s="1128"/>
      <c r="S72" s="108"/>
    </row>
    <row r="73" spans="1:24">
      <c r="F73" s="1128"/>
      <c r="G73" s="1128"/>
      <c r="H73" s="1128"/>
      <c r="I73" s="1128"/>
      <c r="J73" s="1128"/>
      <c r="K73" s="1128"/>
      <c r="S73" s="108"/>
    </row>
    <row r="74" spans="1:24">
      <c r="F74" s="101"/>
      <c r="G74" s="101"/>
      <c r="H74" s="101"/>
      <c r="I74" s="101"/>
      <c r="J74" s="101"/>
      <c r="K74" s="101"/>
      <c r="S74" s="108"/>
    </row>
    <row r="75" spans="1:24" ht="14.5">
      <c r="A75" s="83" t="s">
        <v>952</v>
      </c>
      <c r="B75" s="102" t="s">
        <v>953</v>
      </c>
      <c r="C75" s="102" t="s">
        <v>954</v>
      </c>
      <c r="D75" s="102" t="s">
        <v>955</v>
      </c>
      <c r="E75" s="102" t="s">
        <v>66</v>
      </c>
      <c r="F75" s="1140" t="s">
        <v>956</v>
      </c>
      <c r="G75" s="1140"/>
      <c r="H75" s="1140"/>
      <c r="I75" s="1140"/>
      <c r="J75" s="1140"/>
      <c r="K75" s="1140"/>
      <c r="S75" s="108"/>
    </row>
    <row r="76" spans="1:24" ht="14.5">
      <c r="A76" s="83"/>
      <c r="B76" s="102"/>
      <c r="C76" s="102"/>
      <c r="D76" s="102"/>
      <c r="F76" s="94"/>
      <c r="G76" s="94"/>
      <c r="H76" s="94"/>
      <c r="I76" s="94"/>
      <c r="J76" s="94"/>
      <c r="K76" s="94"/>
      <c r="S76" s="108"/>
    </row>
    <row r="77" spans="1:24" ht="28.5" customHeight="1">
      <c r="A77" s="83" t="s">
        <v>144</v>
      </c>
      <c r="B77" s="102" t="s">
        <v>957</v>
      </c>
      <c r="C77" s="102">
        <v>48.46</v>
      </c>
      <c r="D77" s="102">
        <v>37</v>
      </c>
      <c r="E77" s="103">
        <v>0.95</v>
      </c>
      <c r="F77" s="1128" t="s">
        <v>958</v>
      </c>
      <c r="G77" s="1128"/>
      <c r="H77" s="1128"/>
      <c r="I77" s="1128"/>
      <c r="J77" s="1128"/>
      <c r="K77" s="1128"/>
      <c r="M77" s="250" t="s">
        <v>959</v>
      </c>
      <c r="N77" s="248">
        <f>'GLEA SCALE'!K66+490</f>
        <v>38470.84821428571</v>
      </c>
      <c r="O77" s="247" t="s">
        <v>960</v>
      </c>
      <c r="P77" s="249"/>
      <c r="S77" s="108">
        <f>ROUND((SUM('GLEA SCALE'!K69+490)*1.03),-1)</f>
        <v>40730</v>
      </c>
      <c r="U77" s="108">
        <f>'GLEA 2324'!E40*V62</f>
        <v>31903.392857142859</v>
      </c>
      <c r="V77" s="108">
        <v>3147</v>
      </c>
      <c r="W77" s="108">
        <v>7689</v>
      </c>
      <c r="X77" s="1086">
        <f t="shared" ref="X77:X79" si="0">SUM(U77:W77)</f>
        <v>42739.392857142855</v>
      </c>
    </row>
    <row r="78" spans="1:24" ht="29.25" customHeight="1">
      <c r="A78" s="83" t="s">
        <v>145</v>
      </c>
      <c r="B78" s="102" t="s">
        <v>961</v>
      </c>
      <c r="C78" s="102">
        <v>52.14</v>
      </c>
      <c r="D78" s="102">
        <v>37</v>
      </c>
      <c r="E78" s="103">
        <v>1</v>
      </c>
      <c r="F78" s="1128" t="s">
        <v>962</v>
      </c>
      <c r="G78" s="1128"/>
      <c r="H78" s="1128"/>
      <c r="I78" s="1128"/>
      <c r="J78" s="1128"/>
      <c r="K78" s="1128"/>
      <c r="M78" s="250" t="s">
        <v>963</v>
      </c>
      <c r="N78" s="248">
        <f>'GLEA SCALE'!K66+490</f>
        <v>38470.84821428571</v>
      </c>
      <c r="O78" s="247" t="s">
        <v>960</v>
      </c>
      <c r="P78" s="249"/>
      <c r="S78" s="108">
        <f>ROUND((('GLEA SCALE'!K69+490)*1.03),-1)</f>
        <v>40730</v>
      </c>
      <c r="U78" s="108">
        <f>'GLEA 2324'!E40*V62</f>
        <v>31903.392857142859</v>
      </c>
      <c r="V78" s="108">
        <v>3147</v>
      </c>
      <c r="W78" s="108">
        <v>7689</v>
      </c>
      <c r="X78" s="1086">
        <f t="shared" si="0"/>
        <v>42739.392857142855</v>
      </c>
    </row>
    <row r="79" spans="1:24" ht="28.5">
      <c r="A79" s="83" t="s">
        <v>146</v>
      </c>
      <c r="B79" s="102" t="s">
        <v>964</v>
      </c>
      <c r="C79" s="102">
        <v>52.14</v>
      </c>
      <c r="D79" s="102">
        <v>37</v>
      </c>
      <c r="E79" s="103">
        <v>1</v>
      </c>
      <c r="F79" s="1128" t="s">
        <v>965</v>
      </c>
      <c r="G79" s="1128"/>
      <c r="H79" s="1128"/>
      <c r="I79" s="1128"/>
      <c r="J79" s="1128"/>
      <c r="K79" s="1128"/>
      <c r="M79" s="250" t="s">
        <v>966</v>
      </c>
      <c r="N79" s="248">
        <f>'GLEA SCALE'!K67+490</f>
        <v>28202.915178571428</v>
      </c>
      <c r="O79" s="247" t="s">
        <v>960</v>
      </c>
      <c r="P79" s="249"/>
      <c r="S79" s="108">
        <f>ROUND((('GLEA SCALE'!K70+490)*1.03),-1)</f>
        <v>29860</v>
      </c>
      <c r="U79" s="108">
        <f>'GLEA 2324'!E31*V62</f>
        <v>24203.504464285714</v>
      </c>
      <c r="V79" s="108">
        <v>2084</v>
      </c>
      <c r="W79" s="108">
        <v>5833</v>
      </c>
      <c r="X79" s="1086">
        <f t="shared" si="0"/>
        <v>32120.504464285714</v>
      </c>
    </row>
    <row r="80" spans="1:24" ht="28.5">
      <c r="A80" s="83" t="s">
        <v>967</v>
      </c>
      <c r="B80" s="102" t="s">
        <v>968</v>
      </c>
      <c r="F80" s="95" t="s">
        <v>969</v>
      </c>
      <c r="M80" s="250" t="s">
        <v>970</v>
      </c>
      <c r="N80" s="248">
        <f>'TEACHING ASSISTANT 2021-22'!L22+490</f>
        <v>22565.480349345002</v>
      </c>
      <c r="O80" s="247" t="s">
        <v>971</v>
      </c>
      <c r="P80" s="249"/>
      <c r="S80" s="108">
        <f>ROUND((('TEACHING ASSISTANT 2021-22'!L43+490)*1.03),-1)</f>
        <v>23900</v>
      </c>
      <c r="X80" s="1086">
        <f>'2425 TA Pay Scales'!L22</f>
        <v>26484.644736842107</v>
      </c>
    </row>
    <row r="81" spans="1:13" ht="14.25" customHeight="1">
      <c r="A81" s="95" t="s">
        <v>972</v>
      </c>
    </row>
    <row r="82" spans="1:13">
      <c r="E82" s="95"/>
    </row>
    <row r="83" spans="1:13">
      <c r="E83" s="95"/>
    </row>
    <row r="84" spans="1:13">
      <c r="A84" s="83" t="s">
        <v>973</v>
      </c>
      <c r="B84" s="108">
        <v>2411209</v>
      </c>
      <c r="M84" s="121" t="s">
        <v>974</v>
      </c>
    </row>
    <row r="85" spans="1:13">
      <c r="A85" s="83" t="s">
        <v>975</v>
      </c>
      <c r="B85" s="108">
        <v>2388416</v>
      </c>
      <c r="M85" s="121" t="s">
        <v>976</v>
      </c>
    </row>
    <row r="86" spans="1:13">
      <c r="A86" s="83" t="s">
        <v>977</v>
      </c>
      <c r="B86" s="108">
        <v>296023</v>
      </c>
    </row>
    <row r="87" spans="1:13">
      <c r="A87" s="83" t="s">
        <v>978</v>
      </c>
      <c r="B87" s="116">
        <f>SUM(B84:B86)</f>
        <v>5095648</v>
      </c>
    </row>
    <row r="88" spans="1:13">
      <c r="A88" s="83"/>
      <c r="B88" s="108"/>
    </row>
    <row r="89" spans="1:13">
      <c r="A89" s="83" t="s">
        <v>978</v>
      </c>
      <c r="B89" s="108" t="e">
        <f>'AP Formula 202122'!#REF!*4</f>
        <v>#REF!</v>
      </c>
    </row>
    <row r="90" spans="1:13">
      <c r="A90" s="83"/>
      <c r="B90" s="108"/>
    </row>
    <row r="91" spans="1:13">
      <c r="A91" s="83"/>
      <c r="B91" s="108" t="e">
        <f>B89-B87</f>
        <v>#REF!</v>
      </c>
    </row>
    <row r="92" spans="1:13">
      <c r="A92" s="83"/>
      <c r="B92" s="108"/>
    </row>
    <row r="93" spans="1:13">
      <c r="A93" s="83"/>
      <c r="B93" s="108"/>
    </row>
    <row r="94" spans="1:13">
      <c r="A94" s="83"/>
      <c r="B94" s="108"/>
    </row>
    <row r="95" spans="1:13">
      <c r="A95" s="83"/>
    </row>
    <row r="96" spans="1:13">
      <c r="A96" s="83"/>
    </row>
  </sheetData>
  <mergeCells count="60">
    <mergeCell ref="F79:K79"/>
    <mergeCell ref="B19:B25"/>
    <mergeCell ref="D28:D31"/>
    <mergeCell ref="F28:F30"/>
    <mergeCell ref="I28:I30"/>
    <mergeCell ref="K28:K30"/>
    <mergeCell ref="H21:J21"/>
    <mergeCell ref="H22:J22"/>
    <mergeCell ref="F65:K73"/>
    <mergeCell ref="F75:K75"/>
    <mergeCell ref="F78:K78"/>
    <mergeCell ref="F77:K77"/>
    <mergeCell ref="A55:E63"/>
    <mergeCell ref="F55:K63"/>
    <mergeCell ref="A65:E68"/>
    <mergeCell ref="C15:E15"/>
    <mergeCell ref="H15:J15"/>
    <mergeCell ref="F15:F17"/>
    <mergeCell ref="F18:F20"/>
    <mergeCell ref="C19:E19"/>
    <mergeCell ref="H19:J19"/>
    <mergeCell ref="C20:E20"/>
    <mergeCell ref="H20:J20"/>
    <mergeCell ref="C16:E16"/>
    <mergeCell ref="H16:J16"/>
    <mergeCell ref="C17:E17"/>
    <mergeCell ref="H17:J17"/>
    <mergeCell ref="C18:E18"/>
    <mergeCell ref="H18:J18"/>
    <mergeCell ref="H12:J12"/>
    <mergeCell ref="C13:E13"/>
    <mergeCell ref="H13:J13"/>
    <mergeCell ref="C14:E14"/>
    <mergeCell ref="H14:J14"/>
    <mergeCell ref="A1:J1"/>
    <mergeCell ref="C3:E3"/>
    <mergeCell ref="H3:J3"/>
    <mergeCell ref="C5:E5"/>
    <mergeCell ref="H5:J5"/>
    <mergeCell ref="C6:E6"/>
    <mergeCell ref="H6:J6"/>
    <mergeCell ref="B4:B10"/>
    <mergeCell ref="K19:K22"/>
    <mergeCell ref="K15:K18"/>
    <mergeCell ref="C7:E7"/>
    <mergeCell ref="H7:J7"/>
    <mergeCell ref="C8:E8"/>
    <mergeCell ref="H8:J8"/>
    <mergeCell ref="C9:E9"/>
    <mergeCell ref="H9:J9"/>
    <mergeCell ref="C10:E10"/>
    <mergeCell ref="H10:J10"/>
    <mergeCell ref="C11:E11"/>
    <mergeCell ref="H11:J11"/>
    <mergeCell ref="C12:E12"/>
    <mergeCell ref="M4:M5"/>
    <mergeCell ref="M7:M8"/>
    <mergeCell ref="M10:M12"/>
    <mergeCell ref="M16:M19"/>
    <mergeCell ref="M21:M23"/>
  </mergeCells>
  <pageMargins left="0.11811023622047245" right="0.11811023622047245" top="0.74803149606299213" bottom="0.74803149606299213" header="0.31496062992125984" footer="0.31496062992125984"/>
  <pageSetup paperSize="9" scale="9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5183-D851-4460-82EC-FCE732BDCC6B}">
  <dimension ref="A1:BG72"/>
  <sheetViews>
    <sheetView topLeftCell="A3" workbookViewId="0">
      <selection activeCell="L24" sqref="L24"/>
    </sheetView>
  </sheetViews>
  <sheetFormatPr defaultColWidth="8" defaultRowHeight="15.5"/>
  <cols>
    <col min="1" max="1" width="8.58203125" style="928" customWidth="1"/>
    <col min="2" max="2" width="4.33203125" style="928" customWidth="1"/>
    <col min="3" max="3" width="15.33203125" style="928" customWidth="1"/>
    <col min="4" max="4" width="7.58203125" style="928" customWidth="1"/>
    <col min="5" max="5" width="6.58203125" style="928" customWidth="1"/>
    <col min="6" max="6" width="9.58203125" style="928" customWidth="1"/>
    <col min="7" max="7" width="2.83203125" style="928" customWidth="1"/>
    <col min="8" max="8" width="8" style="928"/>
    <col min="9" max="9" width="2.83203125" style="928" customWidth="1"/>
    <col min="10" max="10" width="8.58203125" style="928" bestFit="1" customWidth="1"/>
    <col min="11" max="11" width="2.83203125" style="928" customWidth="1"/>
    <col min="12" max="12" width="9" style="928" bestFit="1" customWidth="1"/>
    <col min="13" max="13" width="2.83203125" style="928" customWidth="1"/>
    <col min="14" max="14" width="9.58203125" style="928" customWidth="1"/>
    <col min="15" max="17" width="2.83203125" style="928" customWidth="1"/>
    <col min="18" max="18" width="7.75" style="928" customWidth="1"/>
    <col min="19" max="19" width="2.83203125" style="928" customWidth="1"/>
    <col min="20" max="20" width="10.33203125" style="928" customWidth="1"/>
    <col min="21" max="21" width="2.83203125" style="928" customWidth="1"/>
    <col min="22" max="22" width="19" style="928" customWidth="1"/>
    <col min="23" max="25" width="9" style="928" customWidth="1"/>
    <col min="26" max="16384" width="8" style="928"/>
  </cols>
  <sheetData>
    <row r="1" spans="1:59" s="932" customFormat="1" ht="21.5" thickTop="1">
      <c r="A1" s="981"/>
      <c r="B1" s="982" t="s">
        <v>979</v>
      </c>
      <c r="C1" s="983"/>
      <c r="D1" s="983"/>
      <c r="E1" s="983"/>
      <c r="F1" s="983"/>
      <c r="G1" s="984"/>
      <c r="H1" s="983"/>
      <c r="I1" s="983"/>
      <c r="J1" s="983"/>
      <c r="K1" s="983"/>
      <c r="L1" s="983"/>
      <c r="M1" s="983"/>
      <c r="N1" s="983"/>
      <c r="O1" s="983"/>
      <c r="P1" s="983"/>
      <c r="Q1" s="983"/>
      <c r="R1" s="983"/>
      <c r="S1" s="983"/>
      <c r="T1" s="983"/>
      <c r="U1" s="985"/>
      <c r="V1" s="981"/>
      <c r="W1" s="986"/>
      <c r="X1" s="981"/>
      <c r="Y1" s="981"/>
      <c r="Z1" s="981"/>
      <c r="AA1" s="981"/>
      <c r="AB1" s="987"/>
      <c r="AC1" s="987"/>
      <c r="AD1" s="987"/>
      <c r="AE1" s="987"/>
      <c r="AF1" s="987"/>
      <c r="AG1" s="987"/>
      <c r="AH1" s="987"/>
      <c r="AI1" s="987"/>
      <c r="AJ1" s="987"/>
      <c r="AK1" s="987"/>
      <c r="AL1" s="987"/>
      <c r="AM1" s="987"/>
      <c r="AN1" s="987"/>
      <c r="AO1" s="987"/>
      <c r="AP1" s="987"/>
      <c r="AQ1" s="987"/>
      <c r="AR1" s="987"/>
      <c r="AS1" s="987"/>
      <c r="AT1" s="987"/>
      <c r="AU1" s="987"/>
      <c r="AV1" s="987"/>
      <c r="AW1" s="987"/>
      <c r="AX1" s="987"/>
      <c r="AY1" s="987"/>
      <c r="AZ1" s="987"/>
      <c r="BA1" s="987"/>
      <c r="BB1" s="987"/>
      <c r="BC1" s="987"/>
      <c r="BD1" s="987"/>
      <c r="BE1" s="987"/>
      <c r="BF1" s="987"/>
      <c r="BG1" s="987"/>
    </row>
    <row r="2" spans="1:59" s="932" customFormat="1" ht="21.5" thickBot="1">
      <c r="A2" s="988" t="s">
        <v>980</v>
      </c>
      <c r="B2" s="989" t="s">
        <v>981</v>
      </c>
      <c r="C2" s="990"/>
      <c r="D2" s="990"/>
      <c r="E2" s="990"/>
      <c r="F2" s="990"/>
      <c r="G2" s="991"/>
      <c r="H2" s="990"/>
      <c r="I2" s="990"/>
      <c r="J2" s="990"/>
      <c r="K2" s="990"/>
      <c r="L2" s="990"/>
      <c r="M2" s="990"/>
      <c r="N2" s="990"/>
      <c r="O2" s="990"/>
      <c r="P2" s="990"/>
      <c r="Q2" s="990"/>
      <c r="R2" s="990"/>
      <c r="S2" s="990"/>
      <c r="T2" s="990"/>
      <c r="U2" s="990"/>
      <c r="V2" s="992"/>
      <c r="W2" s="986"/>
      <c r="X2" s="981"/>
      <c r="Y2" s="981"/>
      <c r="Z2" s="981"/>
      <c r="AA2" s="981"/>
      <c r="AB2" s="987"/>
      <c r="AC2" s="987"/>
      <c r="AD2" s="987"/>
      <c r="AE2" s="987"/>
      <c r="AF2" s="987"/>
      <c r="AG2" s="987"/>
      <c r="AH2" s="987"/>
      <c r="AI2" s="987"/>
      <c r="AJ2" s="987"/>
      <c r="AK2" s="987"/>
      <c r="AL2" s="987"/>
      <c r="AM2" s="987"/>
      <c r="AN2" s="987"/>
      <c r="AO2" s="987"/>
      <c r="AP2" s="987"/>
      <c r="AQ2" s="987"/>
      <c r="AR2" s="987"/>
      <c r="AS2" s="987"/>
      <c r="AT2" s="987"/>
      <c r="AU2" s="987"/>
      <c r="AV2" s="987"/>
      <c r="AW2" s="987"/>
      <c r="AX2" s="987"/>
      <c r="AY2" s="987"/>
      <c r="AZ2" s="987"/>
      <c r="BA2" s="987"/>
      <c r="BB2" s="987"/>
      <c r="BC2" s="987"/>
      <c r="BD2" s="987"/>
      <c r="BE2" s="987"/>
      <c r="BF2" s="987"/>
      <c r="BG2" s="987"/>
    </row>
    <row r="3" spans="1:59" s="932" customFormat="1" ht="21.75" customHeight="1">
      <c r="A3" s="988" t="s">
        <v>982</v>
      </c>
      <c r="B3" s="993" t="s">
        <v>983</v>
      </c>
      <c r="C3" s="994"/>
      <c r="D3" s="994"/>
      <c r="E3" s="994"/>
      <c r="F3" s="994"/>
      <c r="G3" s="995"/>
      <c r="H3" s="994"/>
      <c r="I3" s="994"/>
      <c r="J3" s="994"/>
      <c r="K3" s="994"/>
      <c r="L3" s="994"/>
      <c r="M3" s="994"/>
      <c r="N3" s="994"/>
      <c r="O3" s="994"/>
      <c r="P3" s="994"/>
      <c r="Q3" s="994"/>
      <c r="R3" s="994"/>
      <c r="S3" s="994"/>
      <c r="T3" s="994"/>
      <c r="U3" s="996"/>
      <c r="V3" s="981"/>
      <c r="W3" s="986"/>
      <c r="X3" s="981"/>
      <c r="Y3" s="981"/>
      <c r="Z3" s="981"/>
      <c r="AA3" s="981"/>
      <c r="AB3" s="987"/>
      <c r="AC3" s="987"/>
      <c r="AD3" s="987"/>
      <c r="AE3" s="987"/>
      <c r="AF3" s="987"/>
      <c r="AG3" s="987"/>
      <c r="AH3" s="987"/>
      <c r="AI3" s="987"/>
      <c r="AJ3" s="987"/>
      <c r="AK3" s="987"/>
      <c r="AL3" s="987"/>
      <c r="AM3" s="987"/>
      <c r="AN3" s="987"/>
      <c r="AO3" s="987"/>
      <c r="AP3" s="987"/>
      <c r="AQ3" s="987"/>
      <c r="AR3" s="987"/>
      <c r="AS3" s="987"/>
      <c r="AT3" s="987"/>
      <c r="AU3" s="987"/>
      <c r="AV3" s="987"/>
      <c r="AW3" s="987"/>
      <c r="AX3" s="987"/>
      <c r="AY3" s="987"/>
      <c r="AZ3" s="987"/>
      <c r="BA3" s="987"/>
      <c r="BB3" s="987"/>
      <c r="BC3" s="987"/>
      <c r="BD3" s="987"/>
      <c r="BE3" s="987"/>
      <c r="BF3" s="987"/>
      <c r="BG3" s="987"/>
    </row>
    <row r="4" spans="1:59" s="932" customFormat="1" ht="21.75" customHeight="1">
      <c r="A4" s="988"/>
      <c r="B4" s="997"/>
      <c r="C4" s="998"/>
      <c r="D4" s="998"/>
      <c r="E4" s="998"/>
      <c r="F4" s="998"/>
      <c r="G4" s="999"/>
      <c r="H4" s="998"/>
      <c r="I4" s="998"/>
      <c r="J4" s="998"/>
      <c r="K4" s="998"/>
      <c r="L4" s="998"/>
      <c r="M4" s="998"/>
      <c r="N4" s="998"/>
      <c r="O4" s="998"/>
      <c r="P4" s="998"/>
      <c r="Q4" s="998"/>
      <c r="R4" s="998"/>
      <c r="S4" s="998"/>
      <c r="T4" s="998"/>
      <c r="U4" s="1000"/>
      <c r="V4" s="981"/>
      <c r="W4" s="986"/>
      <c r="X4" s="981"/>
      <c r="Y4" s="981"/>
      <c r="Z4" s="981"/>
      <c r="AA4" s="981"/>
      <c r="AB4" s="987"/>
      <c r="AC4" s="987"/>
      <c r="AD4" s="987"/>
      <c r="AE4" s="987"/>
      <c r="AF4" s="987"/>
      <c r="AG4" s="987"/>
      <c r="AH4" s="987"/>
      <c r="AI4" s="987"/>
      <c r="AJ4" s="987"/>
      <c r="AK4" s="987"/>
      <c r="AL4" s="987"/>
      <c r="AM4" s="987"/>
      <c r="AN4" s="987"/>
      <c r="AO4" s="987"/>
      <c r="AP4" s="987"/>
      <c r="AQ4" s="987"/>
      <c r="AR4" s="987"/>
      <c r="AS4" s="987"/>
      <c r="AT4" s="987"/>
      <c r="AU4" s="987"/>
      <c r="AV4" s="987"/>
      <c r="AW4" s="987"/>
      <c r="AX4" s="987"/>
      <c r="AY4" s="987"/>
      <c r="AZ4" s="987"/>
      <c r="BA4" s="987"/>
      <c r="BB4" s="987"/>
      <c r="BC4" s="987"/>
      <c r="BD4" s="987"/>
      <c r="BE4" s="987"/>
      <c r="BF4" s="987"/>
      <c r="BG4" s="987"/>
    </row>
    <row r="5" spans="1:59" s="932" customFormat="1" ht="21.75" customHeight="1">
      <c r="A5" s="988"/>
      <c r="B5" s="1001" t="s">
        <v>984</v>
      </c>
      <c r="C5" s="998"/>
      <c r="D5" s="998"/>
      <c r="E5" s="998"/>
      <c r="F5" s="998"/>
      <c r="G5" s="999"/>
      <c r="H5" s="998"/>
      <c r="I5" s="998"/>
      <c r="J5" s="998"/>
      <c r="K5" s="998"/>
      <c r="L5" s="998"/>
      <c r="M5" s="998"/>
      <c r="N5" s="998"/>
      <c r="O5" s="998"/>
      <c r="P5" s="998"/>
      <c r="Q5" s="998"/>
      <c r="R5" s="998"/>
      <c r="S5" s="998"/>
      <c r="T5" s="998"/>
      <c r="U5" s="1000"/>
      <c r="V5" s="981" t="s">
        <v>985</v>
      </c>
      <c r="W5" s="986"/>
      <c r="X5" s="981"/>
      <c r="Y5" s="981"/>
      <c r="Z5" s="981"/>
      <c r="AA5" s="981"/>
      <c r="AB5" s="987"/>
      <c r="AC5" s="987"/>
      <c r="AD5" s="987"/>
      <c r="AE5" s="987"/>
      <c r="AF5" s="987"/>
      <c r="AG5" s="987"/>
      <c r="AH5" s="987"/>
      <c r="AI5" s="987"/>
      <c r="AJ5" s="987"/>
      <c r="AK5" s="987"/>
      <c r="AL5" s="987"/>
      <c r="AM5" s="987"/>
      <c r="AN5" s="987"/>
      <c r="AO5" s="987"/>
      <c r="AP5" s="987"/>
      <c r="AQ5" s="987"/>
      <c r="AR5" s="987"/>
      <c r="AS5" s="987"/>
      <c r="AT5" s="987"/>
      <c r="AU5" s="987"/>
      <c r="AV5" s="987"/>
      <c r="AW5" s="987"/>
      <c r="AX5" s="987"/>
      <c r="AY5" s="987"/>
      <c r="AZ5" s="987"/>
      <c r="BA5" s="987"/>
      <c r="BB5" s="987"/>
      <c r="BC5" s="987"/>
      <c r="BD5" s="987"/>
      <c r="BE5" s="987"/>
      <c r="BF5" s="987"/>
      <c r="BG5" s="987"/>
    </row>
    <row r="6" spans="1:59" s="932" customFormat="1" ht="21.75" customHeight="1">
      <c r="A6" s="988"/>
      <c r="B6" s="1001" t="s">
        <v>986</v>
      </c>
      <c r="C6" s="1002"/>
      <c r="D6" s="1002"/>
      <c r="E6" s="1002"/>
      <c r="F6" s="1002"/>
      <c r="G6" s="1002"/>
      <c r="H6" s="1002"/>
      <c r="I6" s="1002"/>
      <c r="J6" s="1002"/>
      <c r="K6" s="1002"/>
      <c r="L6" s="1002"/>
      <c r="M6" s="1002"/>
      <c r="N6" s="1002"/>
      <c r="O6" s="1002"/>
      <c r="P6" s="1002"/>
      <c r="Q6" s="1002"/>
      <c r="R6" s="1002"/>
      <c r="S6" s="1002"/>
      <c r="T6" s="1002"/>
      <c r="U6" s="1003"/>
      <c r="V6" s="981"/>
      <c r="W6" s="981"/>
      <c r="X6" s="981"/>
      <c r="Y6" s="981"/>
      <c r="Z6" s="981"/>
      <c r="AA6" s="981"/>
      <c r="AB6" s="987"/>
      <c r="AC6" s="987"/>
      <c r="AD6" s="987"/>
      <c r="AE6" s="987"/>
      <c r="AF6" s="987"/>
      <c r="AG6" s="987"/>
      <c r="AH6" s="987"/>
      <c r="AI6" s="987"/>
      <c r="AJ6" s="987"/>
      <c r="AK6" s="987"/>
      <c r="AL6" s="987"/>
      <c r="AM6" s="987"/>
      <c r="AN6" s="987"/>
      <c r="AO6" s="987"/>
      <c r="AP6" s="987"/>
      <c r="AQ6" s="987"/>
      <c r="AR6" s="987"/>
      <c r="AS6" s="987"/>
      <c r="AT6" s="987"/>
      <c r="AU6" s="987"/>
      <c r="AV6" s="987"/>
      <c r="AW6" s="987"/>
      <c r="AX6" s="987"/>
      <c r="AY6" s="987"/>
      <c r="AZ6" s="987"/>
      <c r="BA6" s="987"/>
      <c r="BB6" s="987"/>
      <c r="BC6" s="987"/>
      <c r="BD6" s="987"/>
      <c r="BE6" s="987"/>
      <c r="BF6" s="987"/>
      <c r="BG6" s="987"/>
    </row>
    <row r="7" spans="1:59" s="932" customFormat="1" ht="21.75" customHeight="1">
      <c r="A7" s="988"/>
      <c r="B7" s="1001" t="s">
        <v>987</v>
      </c>
      <c r="C7" s="1002"/>
      <c r="D7" s="1002"/>
      <c r="E7" s="1002"/>
      <c r="F7" s="1002"/>
      <c r="G7" s="1002"/>
      <c r="H7" s="1002"/>
      <c r="I7" s="1002"/>
      <c r="J7" s="1002"/>
      <c r="K7" s="1002"/>
      <c r="L7" s="1002"/>
      <c r="M7" s="1002"/>
      <c r="N7" s="1002"/>
      <c r="O7" s="1002"/>
      <c r="P7" s="1002"/>
      <c r="Q7" s="1002"/>
      <c r="R7" s="1002"/>
      <c r="S7" s="1002"/>
      <c r="T7" s="1002"/>
      <c r="U7" s="1003"/>
      <c r="V7" s="981"/>
      <c r="W7" s="1004"/>
      <c r="X7" s="1004"/>
      <c r="Y7" s="1004"/>
      <c r="Z7" s="981"/>
      <c r="AA7" s="981"/>
      <c r="AB7" s="987"/>
      <c r="AC7" s="987"/>
      <c r="AD7" s="987"/>
      <c r="AE7" s="987"/>
      <c r="AF7" s="987"/>
      <c r="AG7" s="987"/>
      <c r="AH7" s="987"/>
      <c r="AI7" s="987"/>
      <c r="AJ7" s="987"/>
      <c r="AK7" s="987"/>
      <c r="AL7" s="987"/>
      <c r="AM7" s="987"/>
      <c r="AN7" s="987"/>
      <c r="AO7" s="987"/>
      <c r="AP7" s="987"/>
      <c r="AQ7" s="987"/>
      <c r="AR7" s="987"/>
      <c r="AS7" s="987"/>
      <c r="AT7" s="987"/>
      <c r="AU7" s="987"/>
      <c r="AV7" s="987"/>
      <c r="AW7" s="987"/>
      <c r="AX7" s="987"/>
      <c r="AY7" s="987"/>
      <c r="AZ7" s="987"/>
      <c r="BA7" s="987"/>
      <c r="BB7" s="987"/>
      <c r="BC7" s="987"/>
      <c r="BD7" s="987"/>
      <c r="BE7" s="987"/>
      <c r="BF7" s="987"/>
      <c r="BG7" s="987"/>
    </row>
    <row r="8" spans="1:59" s="932" customFormat="1" ht="21.75" customHeight="1" thickBot="1">
      <c r="A8" s="988"/>
      <c r="B8" s="1005" t="s">
        <v>988</v>
      </c>
      <c r="C8" s="1006"/>
      <c r="D8" s="1006"/>
      <c r="E8" s="1006"/>
      <c r="F8" s="1006"/>
      <c r="G8" s="1006"/>
      <c r="H8" s="1006"/>
      <c r="I8" s="1006"/>
      <c r="J8" s="1006"/>
      <c r="K8" s="1006"/>
      <c r="L8" s="1006"/>
      <c r="M8" s="1006"/>
      <c r="N8" s="1006"/>
      <c r="O8" s="1006"/>
      <c r="P8" s="1006"/>
      <c r="Q8" s="1006"/>
      <c r="R8" s="1006"/>
      <c r="S8" s="1006"/>
      <c r="T8" s="1006"/>
      <c r="U8" s="1007"/>
      <c r="V8" s="981"/>
      <c r="W8" s="1004"/>
      <c r="X8" s="1004"/>
      <c r="Y8" s="1004"/>
      <c r="Z8" s="981"/>
      <c r="AA8" s="981"/>
      <c r="AB8" s="987"/>
      <c r="AC8" s="987"/>
      <c r="AD8" s="987"/>
      <c r="AE8" s="987"/>
      <c r="AF8" s="987"/>
      <c r="AG8" s="987"/>
      <c r="AH8" s="987"/>
      <c r="AI8" s="987"/>
      <c r="AJ8" s="987"/>
      <c r="AK8" s="987"/>
      <c r="AL8" s="987"/>
      <c r="AM8" s="987"/>
      <c r="AN8" s="987"/>
      <c r="AO8" s="987"/>
      <c r="AP8" s="987"/>
      <c r="AQ8" s="987"/>
      <c r="AR8" s="987"/>
      <c r="AS8" s="987"/>
      <c r="AT8" s="987"/>
      <c r="AU8" s="987"/>
      <c r="AV8" s="987"/>
      <c r="AW8" s="987"/>
      <c r="AX8" s="987"/>
      <c r="AY8" s="987"/>
      <c r="AZ8" s="987"/>
      <c r="BA8" s="987"/>
      <c r="BB8" s="987"/>
      <c r="BC8" s="987"/>
      <c r="BD8" s="987"/>
      <c r="BE8" s="987"/>
      <c r="BF8" s="987"/>
      <c r="BG8" s="987"/>
    </row>
    <row r="9" spans="1:59" s="932" customFormat="1" ht="21.75" customHeight="1">
      <c r="A9" s="988" t="s">
        <v>989</v>
      </c>
      <c r="B9" s="1008"/>
      <c r="C9" s="1142" t="s">
        <v>990</v>
      </c>
      <c r="D9" s="1142"/>
      <c r="E9" s="1009"/>
      <c r="F9" s="1010" t="s">
        <v>991</v>
      </c>
      <c r="G9" s="1009"/>
      <c r="H9" s="1009"/>
      <c r="I9" s="1009"/>
      <c r="J9" s="1009"/>
      <c r="K9" s="1009"/>
      <c r="L9" s="1009"/>
      <c r="M9" s="1009"/>
      <c r="N9" s="1009"/>
      <c r="O9" s="1011" t="s">
        <v>992</v>
      </c>
      <c r="P9" s="1012"/>
      <c r="Q9" s="1012"/>
      <c r="R9" s="1013"/>
      <c r="S9" s="1013"/>
      <c r="T9" s="1013"/>
      <c r="U9" s="1014"/>
      <c r="V9" s="988" t="s">
        <v>993</v>
      </c>
      <c r="W9" s="1015" t="s">
        <v>994</v>
      </c>
      <c r="X9" s="1016">
        <v>1</v>
      </c>
      <c r="Y9" s="1017">
        <v>2</v>
      </c>
      <c r="Z9" s="981"/>
      <c r="AA9" s="981"/>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row>
    <row r="10" spans="1:59" s="945" customFormat="1">
      <c r="A10" s="1018"/>
      <c r="B10" s="1019"/>
      <c r="C10" s="1020">
        <f>$W$10</f>
        <v>0</v>
      </c>
      <c r="D10" s="1020">
        <f>W12</f>
        <v>9100</v>
      </c>
      <c r="E10" s="1020"/>
      <c r="F10" s="1021" t="s">
        <v>995</v>
      </c>
      <c r="G10" s="1020"/>
      <c r="H10" s="1020"/>
      <c r="I10" s="1020"/>
      <c r="J10" s="1020"/>
      <c r="K10" s="1020"/>
      <c r="L10" s="1020"/>
      <c r="M10" s="1020"/>
      <c r="N10" s="1020"/>
      <c r="O10" s="1020"/>
      <c r="P10" s="1020"/>
      <c r="Q10" s="1020"/>
      <c r="R10" s="1020"/>
      <c r="S10" s="1020"/>
      <c r="T10" s="1020"/>
      <c r="U10" s="1022"/>
      <c r="V10" s="1023"/>
      <c r="W10" s="1019">
        <v>0</v>
      </c>
      <c r="X10" s="1020">
        <v>0</v>
      </c>
      <c r="Y10" s="1022">
        <v>0</v>
      </c>
      <c r="Z10" s="1023"/>
      <c r="AA10" s="1023"/>
      <c r="AB10" s="1024"/>
      <c r="AC10" s="1024"/>
      <c r="AD10" s="1024"/>
      <c r="AE10" s="1024"/>
      <c r="AF10" s="1024"/>
      <c r="AG10" s="1024"/>
      <c r="AH10" s="1024"/>
      <c r="AI10" s="1024"/>
      <c r="AJ10" s="1024"/>
      <c r="AK10" s="1024"/>
      <c r="AL10" s="1024"/>
      <c r="AM10" s="1024"/>
      <c r="AN10" s="1024"/>
      <c r="AO10" s="1024"/>
      <c r="AP10" s="1024"/>
      <c r="AQ10" s="1024"/>
      <c r="AR10" s="1024"/>
      <c r="AS10" s="1024"/>
      <c r="AT10" s="1024"/>
      <c r="AU10" s="1024"/>
      <c r="AV10" s="1024"/>
      <c r="AW10" s="1024"/>
      <c r="AX10" s="1024"/>
      <c r="AY10" s="1024"/>
      <c r="AZ10" s="1024"/>
      <c r="BA10" s="1024"/>
      <c r="BB10" s="1024"/>
      <c r="BC10" s="1024"/>
      <c r="BD10" s="1024"/>
      <c r="BE10" s="1024"/>
      <c r="BF10" s="1024"/>
      <c r="BG10" s="1024"/>
    </row>
    <row r="11" spans="1:59" s="945" customFormat="1">
      <c r="A11" s="1018"/>
      <c r="B11" s="1019"/>
      <c r="C11" s="1020">
        <f>W12</f>
        <v>9100</v>
      </c>
      <c r="D11" s="1020" t="s">
        <v>996</v>
      </c>
      <c r="E11" s="1020"/>
      <c r="F11" s="1021" t="s">
        <v>997</v>
      </c>
      <c r="G11" s="1020"/>
      <c r="H11" s="1025">
        <f>$Y$12*100</f>
        <v>13.8</v>
      </c>
      <c r="I11" s="1025" t="s">
        <v>998</v>
      </c>
      <c r="J11" s="1020"/>
      <c r="K11" s="1020"/>
      <c r="L11" s="1025"/>
      <c r="M11" s="1026"/>
      <c r="N11" s="1020"/>
      <c r="O11" s="1020"/>
      <c r="P11" s="1020"/>
      <c r="Q11" s="1020"/>
      <c r="R11" s="1027"/>
      <c r="S11" s="1020"/>
      <c r="T11" s="1028"/>
      <c r="U11" s="1029"/>
      <c r="V11" s="1030" t="s">
        <v>999</v>
      </c>
      <c r="W11" s="1019">
        <v>6396</v>
      </c>
      <c r="X11" s="1031">
        <v>0</v>
      </c>
      <c r="Y11" s="1032"/>
      <c r="Z11" s="1023"/>
      <c r="AA11" s="1023"/>
      <c r="AB11" s="1024"/>
      <c r="AC11" s="1024"/>
      <c r="AD11" s="1024"/>
      <c r="AE11" s="1024"/>
      <c r="AF11" s="1024"/>
      <c r="AG11" s="1024"/>
      <c r="AH11" s="1024"/>
      <c r="AI11" s="1024"/>
      <c r="AJ11" s="1024"/>
      <c r="AK11" s="1024"/>
      <c r="AL11" s="1024"/>
      <c r="AM11" s="1024"/>
      <c r="AN11" s="1024"/>
      <c r="AO11" s="1024"/>
      <c r="AP11" s="1024"/>
      <c r="AQ11" s="1024"/>
      <c r="AR11" s="1024"/>
      <c r="AS11" s="1024"/>
      <c r="AT11" s="1024"/>
      <c r="AU11" s="1024"/>
      <c r="AV11" s="1024"/>
      <c r="AW11" s="1024"/>
      <c r="AX11" s="1024"/>
      <c r="AY11" s="1024"/>
      <c r="AZ11" s="1024"/>
      <c r="BA11" s="1024"/>
      <c r="BB11" s="1024"/>
      <c r="BC11" s="1024"/>
      <c r="BD11" s="1024"/>
      <c r="BE11" s="1024"/>
      <c r="BF11" s="1024"/>
      <c r="BG11" s="1024"/>
    </row>
    <row r="12" spans="1:59" s="945" customFormat="1" ht="16" thickBot="1">
      <c r="A12" s="1018"/>
      <c r="B12" s="1033"/>
      <c r="C12" s="1034"/>
      <c r="D12" s="1034"/>
      <c r="E12" s="1034"/>
      <c r="F12" s="1034"/>
      <c r="G12" s="1035"/>
      <c r="H12" s="1036"/>
      <c r="I12" s="1035"/>
      <c r="J12" s="1034"/>
      <c r="K12" s="1037"/>
      <c r="L12" s="1038"/>
      <c r="M12" s="1037"/>
      <c r="N12" s="1034"/>
      <c r="O12" s="1034"/>
      <c r="P12" s="1039"/>
      <c r="Q12" s="1034"/>
      <c r="R12" s="1040"/>
      <c r="S12" s="1034"/>
      <c r="T12" s="1034"/>
      <c r="U12" s="1041"/>
      <c r="V12" s="1030" t="s">
        <v>1000</v>
      </c>
      <c r="W12" s="1019">
        <v>9100</v>
      </c>
      <c r="X12" s="1031">
        <v>0</v>
      </c>
      <c r="Y12" s="1032">
        <v>0.13800000000000001</v>
      </c>
      <c r="Z12" s="1023"/>
      <c r="AA12" s="1023"/>
      <c r="AB12" s="1024"/>
      <c r="AC12" s="1024"/>
      <c r="AD12" s="1024"/>
      <c r="AE12" s="1024"/>
      <c r="AF12" s="1024"/>
      <c r="AG12" s="1024"/>
      <c r="AH12" s="1024"/>
      <c r="AI12" s="1024"/>
      <c r="AJ12" s="1024"/>
      <c r="AK12" s="1024"/>
      <c r="AL12" s="1024"/>
      <c r="AM12" s="1024"/>
      <c r="AN12" s="1024"/>
      <c r="AO12" s="1024"/>
      <c r="AP12" s="1024"/>
      <c r="AQ12" s="1024"/>
      <c r="AR12" s="1024"/>
      <c r="AS12" s="1024"/>
      <c r="AT12" s="1024"/>
      <c r="AU12" s="1024"/>
      <c r="AV12" s="1024"/>
      <c r="AW12" s="1024"/>
      <c r="AX12" s="1024"/>
      <c r="AY12" s="1024"/>
      <c r="AZ12" s="1024"/>
      <c r="BA12" s="1024"/>
      <c r="BB12" s="1024"/>
      <c r="BC12" s="1024"/>
      <c r="BD12" s="1024"/>
      <c r="BE12" s="1024"/>
      <c r="BF12" s="1024"/>
      <c r="BG12" s="1024"/>
    </row>
    <row r="13" spans="1:59" s="945" customFormat="1" ht="17" thickBot="1">
      <c r="A13" s="988"/>
      <c r="B13" s="1042"/>
      <c r="C13" s="1043"/>
      <c r="D13" s="1043"/>
      <c r="E13" s="1044"/>
      <c r="F13" s="1043"/>
      <c r="G13" s="1044"/>
      <c r="H13" s="1043"/>
      <c r="I13" s="1044"/>
      <c r="J13" s="1043"/>
      <c r="K13" s="1044"/>
      <c r="L13" s="1043"/>
      <c r="M13" s="1044"/>
      <c r="N13" s="1044"/>
      <c r="O13" s="1044"/>
      <c r="P13" s="1044"/>
      <c r="Q13" s="1044"/>
      <c r="R13" s="1044"/>
      <c r="S13" s="1044"/>
      <c r="T13" s="1044"/>
      <c r="U13" s="1044"/>
      <c r="V13" s="1030" t="s">
        <v>1001</v>
      </c>
      <c r="W13" s="1019">
        <v>50270</v>
      </c>
      <c r="X13" s="1031">
        <v>0</v>
      </c>
      <c r="Y13" s="1022"/>
      <c r="Z13" s="1023"/>
      <c r="AA13" s="1023"/>
      <c r="AB13" s="1024"/>
      <c r="AC13" s="1024"/>
      <c r="AD13" s="1024"/>
      <c r="AE13" s="1024"/>
      <c r="AF13" s="1024"/>
      <c r="AG13" s="1024"/>
      <c r="AH13" s="1024"/>
      <c r="AI13" s="1024"/>
      <c r="AJ13" s="1024"/>
      <c r="AK13" s="1024"/>
      <c r="AL13" s="1024"/>
      <c r="AM13" s="1024"/>
      <c r="AN13" s="1024"/>
      <c r="AO13" s="1024"/>
      <c r="AP13" s="1024"/>
      <c r="AQ13" s="1024"/>
      <c r="AR13" s="1024"/>
      <c r="AS13" s="1024"/>
      <c r="AT13" s="1024"/>
      <c r="AU13" s="1024"/>
      <c r="AV13" s="1024"/>
      <c r="AW13" s="1024"/>
      <c r="AX13" s="1024"/>
      <c r="AY13" s="1024"/>
      <c r="AZ13" s="1024"/>
      <c r="BA13" s="1024"/>
      <c r="BB13" s="1024"/>
      <c r="BC13" s="1024"/>
      <c r="BD13" s="1024"/>
      <c r="BE13" s="1024"/>
      <c r="BF13" s="1024"/>
      <c r="BG13" s="1024"/>
    </row>
    <row r="14" spans="1:59" s="945" customFormat="1" ht="17.5" thickTop="1" thickBot="1">
      <c r="A14" s="1045"/>
      <c r="B14" s="1046"/>
      <c r="C14" s="1046"/>
      <c r="D14" s="1046"/>
      <c r="E14" s="1046"/>
      <c r="F14" s="1047"/>
      <c r="G14" s="1046"/>
      <c r="H14" s="1046"/>
      <c r="I14" s="1046"/>
      <c r="J14" s="1046"/>
      <c r="K14" s="1046"/>
      <c r="L14" s="1046"/>
      <c r="M14" s="1046"/>
      <c r="N14" s="1046"/>
      <c r="O14" s="1046"/>
      <c r="P14" s="1046"/>
      <c r="Q14" s="1046"/>
      <c r="R14" s="1046"/>
      <c r="S14" s="1046"/>
      <c r="T14" s="1046"/>
      <c r="U14" s="1046"/>
      <c r="V14" s="1023"/>
      <c r="W14" s="1019"/>
      <c r="X14" s="1031"/>
      <c r="Y14" s="1032"/>
      <c r="Z14" s="1023"/>
      <c r="AA14" s="1023"/>
      <c r="AB14" s="1024"/>
      <c r="AC14" s="1024"/>
      <c r="AD14" s="1024"/>
      <c r="AE14" s="1024"/>
      <c r="AF14" s="1024"/>
      <c r="AG14" s="1024"/>
      <c r="AH14" s="1024"/>
      <c r="AI14" s="1024"/>
      <c r="AJ14" s="1024"/>
      <c r="AK14" s="1024"/>
      <c r="AL14" s="1024"/>
      <c r="AM14" s="1024"/>
      <c r="AN14" s="1024"/>
      <c r="AO14" s="1024"/>
      <c r="AP14" s="1024"/>
      <c r="AQ14" s="1024"/>
      <c r="AR14" s="1024"/>
      <c r="AS14" s="1024"/>
      <c r="AT14" s="1024"/>
      <c r="AU14" s="1024"/>
      <c r="AV14" s="1024"/>
      <c r="AW14" s="1024"/>
      <c r="AX14" s="1024"/>
      <c r="AY14" s="1024"/>
      <c r="AZ14" s="1024"/>
      <c r="BA14" s="1024"/>
      <c r="BB14" s="1024"/>
      <c r="BC14" s="1024"/>
      <c r="BD14" s="1024"/>
      <c r="BE14" s="1024"/>
      <c r="BF14" s="1024"/>
      <c r="BG14" s="1024"/>
    </row>
    <row r="15" spans="1:59" s="945" customFormat="1" ht="18.75" customHeight="1" thickTop="1" thickBot="1">
      <c r="A15" s="988" t="s">
        <v>1002</v>
      </c>
      <c r="B15" s="1143" t="s">
        <v>1003</v>
      </c>
      <c r="C15" s="1144"/>
      <c r="D15" s="1144"/>
      <c r="E15" s="1144"/>
      <c r="F15" s="1144"/>
      <c r="G15" s="1144"/>
      <c r="H15" s="1144"/>
      <c r="I15" s="1144"/>
      <c r="J15" s="1144"/>
      <c r="K15" s="1144"/>
      <c r="L15" s="1144"/>
      <c r="M15" s="1145"/>
      <c r="N15" s="1146" t="s">
        <v>1004</v>
      </c>
      <c r="O15" s="1147"/>
      <c r="P15" s="1147"/>
      <c r="Q15" s="1147"/>
      <c r="R15" s="1147"/>
      <c r="S15" s="1147"/>
      <c r="T15" s="1147"/>
      <c r="U15" s="1147"/>
      <c r="V15" s="1048"/>
      <c r="W15" s="1049" t="s">
        <v>1005</v>
      </c>
      <c r="X15" s="1050">
        <v>0.24099999999999999</v>
      </c>
      <c r="Y15" s="1041"/>
      <c r="Z15" s="1023"/>
      <c r="AA15" s="1023"/>
      <c r="AB15" s="1024"/>
      <c r="AC15" s="1024"/>
      <c r="AD15" s="1024"/>
      <c r="AE15" s="1024"/>
      <c r="AF15" s="1024"/>
      <c r="AG15" s="1024"/>
      <c r="AH15" s="1024"/>
      <c r="AI15" s="1024"/>
      <c r="AJ15" s="1024"/>
      <c r="AK15" s="1024"/>
      <c r="AL15" s="1024"/>
      <c r="AM15" s="1024"/>
      <c r="AN15" s="1024"/>
      <c r="AO15" s="1024"/>
      <c r="AP15" s="1024"/>
      <c r="AQ15" s="1024"/>
      <c r="AR15" s="1024"/>
      <c r="AS15" s="1024"/>
      <c r="AT15" s="1024"/>
      <c r="AU15" s="1024"/>
      <c r="AV15" s="1024"/>
      <c r="AW15" s="1024"/>
      <c r="AX15" s="1024"/>
      <c r="AY15" s="1024"/>
      <c r="AZ15" s="1024"/>
      <c r="BA15" s="1024"/>
      <c r="BB15" s="1024"/>
      <c r="BC15" s="1024"/>
      <c r="BD15" s="1024"/>
      <c r="BE15" s="1024"/>
      <c r="BF15" s="1024"/>
      <c r="BG15" s="1024"/>
    </row>
    <row r="16" spans="1:59">
      <c r="A16" s="981"/>
      <c r="B16" s="1051"/>
      <c r="C16" s="1052" t="s">
        <v>1006</v>
      </c>
      <c r="D16" s="1052" t="s">
        <v>1007</v>
      </c>
      <c r="E16" s="1052"/>
      <c r="F16" s="1053" t="s">
        <v>1008</v>
      </c>
      <c r="G16" s="1052"/>
      <c r="H16" s="1053" t="s">
        <v>1009</v>
      </c>
      <c r="I16" s="1052"/>
      <c r="J16" s="1053" t="s">
        <v>1005</v>
      </c>
      <c r="K16" s="1052"/>
      <c r="L16" s="1053" t="s">
        <v>1010</v>
      </c>
      <c r="M16" s="1054"/>
      <c r="N16" s="1055" t="s">
        <v>1008</v>
      </c>
      <c r="O16" s="1052"/>
      <c r="P16" s="1052"/>
      <c r="Q16" s="1052"/>
      <c r="R16" s="1053" t="s">
        <v>1009</v>
      </c>
      <c r="S16" s="1052"/>
      <c r="T16" s="1056" t="s">
        <v>1010</v>
      </c>
      <c r="U16" s="1057"/>
      <c r="V16" s="981"/>
      <c r="W16" s="981"/>
      <c r="X16" s="981"/>
      <c r="Y16" s="981"/>
      <c r="Z16" s="981"/>
      <c r="AA16" s="981"/>
      <c r="AB16" s="981"/>
      <c r="AC16" s="981"/>
      <c r="AD16" s="981"/>
      <c r="AE16" s="981"/>
      <c r="AF16" s="981"/>
      <c r="AG16" s="981"/>
      <c r="AH16" s="981"/>
      <c r="AI16" s="981"/>
      <c r="AJ16" s="981"/>
      <c r="AK16" s="981"/>
      <c r="AL16" s="981"/>
      <c r="AM16" s="981"/>
      <c r="AN16" s="981"/>
      <c r="AO16" s="981"/>
      <c r="AP16" s="981"/>
      <c r="AQ16" s="981"/>
      <c r="AR16" s="981"/>
      <c r="AS16" s="981"/>
      <c r="AT16" s="981"/>
      <c r="AU16" s="981"/>
      <c r="AV16" s="981"/>
      <c r="AW16" s="981"/>
      <c r="AX16" s="981"/>
      <c r="AY16" s="981"/>
      <c r="AZ16" s="981"/>
      <c r="BA16" s="981"/>
      <c r="BB16" s="981"/>
      <c r="BC16" s="981"/>
      <c r="BD16" s="981"/>
      <c r="BE16" s="981"/>
      <c r="BF16" s="981"/>
      <c r="BG16" s="981"/>
    </row>
    <row r="17" spans="1:59" ht="16" thickBot="1">
      <c r="A17" s="981"/>
      <c r="B17" s="1058"/>
      <c r="C17" s="1059"/>
      <c r="D17" s="1059"/>
      <c r="E17" s="1059"/>
      <c r="F17" s="1059"/>
      <c r="G17" s="1059"/>
      <c r="H17" s="1059"/>
      <c r="I17" s="1059"/>
      <c r="J17" s="1059"/>
      <c r="K17" s="1059"/>
      <c r="L17" s="1059"/>
      <c r="M17" s="1059"/>
      <c r="N17" s="1060"/>
      <c r="O17" s="1059"/>
      <c r="P17" s="1059"/>
      <c r="Q17" s="1059"/>
      <c r="R17" s="1059"/>
      <c r="S17" s="1059"/>
      <c r="T17" s="1059"/>
      <c r="U17" s="1061"/>
      <c r="V17" s="981"/>
      <c r="W17" s="981"/>
      <c r="X17" s="1062"/>
      <c r="Y17" s="981"/>
      <c r="Z17" s="981"/>
      <c r="AA17" s="981"/>
      <c r="AB17" s="981"/>
      <c r="AC17" s="981"/>
      <c r="AD17" s="981"/>
      <c r="AE17" s="981"/>
      <c r="AF17" s="981"/>
      <c r="AG17" s="981"/>
      <c r="AH17" s="981"/>
      <c r="AI17" s="981"/>
      <c r="AJ17" s="981"/>
      <c r="AK17" s="981"/>
      <c r="AL17" s="981"/>
      <c r="AM17" s="981"/>
      <c r="AN17" s="981"/>
      <c r="AO17" s="981"/>
      <c r="AP17" s="981"/>
      <c r="AQ17" s="981"/>
      <c r="AR17" s="981"/>
      <c r="AS17" s="981"/>
      <c r="AT17" s="981"/>
      <c r="AU17" s="981"/>
      <c r="AV17" s="981"/>
      <c r="AW17" s="981"/>
      <c r="AX17" s="981"/>
      <c r="AY17" s="981"/>
      <c r="AZ17" s="981"/>
      <c r="BA17" s="981"/>
      <c r="BB17" s="981"/>
      <c r="BC17" s="981"/>
      <c r="BD17" s="981"/>
      <c r="BE17" s="981"/>
      <c r="BF17" s="981"/>
      <c r="BG17" s="981"/>
    </row>
    <row r="18" spans="1:59" ht="16" customHeight="1">
      <c r="A18" s="981"/>
      <c r="B18" s="1063"/>
      <c r="C18" s="1064" t="s">
        <v>1011</v>
      </c>
      <c r="D18" s="1065"/>
      <c r="E18" s="1066"/>
      <c r="F18" s="1067"/>
      <c r="G18" s="1067"/>
      <c r="H18" s="1067"/>
      <c r="I18" s="1067"/>
      <c r="J18" s="1067"/>
      <c r="K18" s="1067"/>
      <c r="L18" s="1067"/>
      <c r="M18" s="1067"/>
      <c r="N18" s="1068"/>
      <c r="O18" s="1067"/>
      <c r="P18" s="1067"/>
      <c r="Q18" s="1067"/>
      <c r="R18" s="1067"/>
      <c r="S18" s="1067"/>
      <c r="T18" s="1067"/>
      <c r="U18" s="1069"/>
      <c r="V18" s="981"/>
      <c r="W18" s="981"/>
      <c r="X18" s="1062"/>
      <c r="Y18" s="981"/>
      <c r="Z18" s="981"/>
      <c r="AA18" s="981"/>
      <c r="AB18" s="981"/>
      <c r="AC18" s="981"/>
      <c r="AD18" s="981"/>
      <c r="AE18" s="981"/>
      <c r="AF18" s="981"/>
      <c r="AG18" s="981"/>
      <c r="AH18" s="981"/>
      <c r="AI18" s="981"/>
      <c r="AJ18" s="981"/>
      <c r="AK18" s="981"/>
      <c r="AL18" s="981"/>
      <c r="AM18" s="981"/>
      <c r="AN18" s="981"/>
      <c r="AO18" s="981"/>
      <c r="AP18" s="981"/>
      <c r="AQ18" s="981"/>
      <c r="AR18" s="981"/>
      <c r="AS18" s="981"/>
      <c r="AT18" s="981"/>
      <c r="AU18" s="981"/>
      <c r="AV18" s="981"/>
      <c r="AW18" s="981"/>
      <c r="AX18" s="981"/>
      <c r="AY18" s="981"/>
      <c r="AZ18" s="981"/>
      <c r="BA18" s="981"/>
      <c r="BB18" s="981"/>
      <c r="BC18" s="981"/>
      <c r="BD18" s="981"/>
      <c r="BE18" s="981"/>
      <c r="BF18" s="981"/>
      <c r="BG18" s="981"/>
    </row>
    <row r="19" spans="1:59" ht="16" customHeight="1">
      <c r="A19" s="981"/>
      <c r="B19" s="1063"/>
      <c r="C19" s="1070" t="s">
        <v>1012</v>
      </c>
      <c r="D19" s="1065"/>
      <c r="E19" s="1066"/>
      <c r="F19" s="1067"/>
      <c r="G19" s="1067"/>
      <c r="H19" s="1067"/>
      <c r="I19" s="1067"/>
      <c r="J19" s="1067"/>
      <c r="K19" s="1067"/>
      <c r="L19" s="1067"/>
      <c r="M19" s="1067"/>
      <c r="N19" s="1068"/>
      <c r="O19" s="1067"/>
      <c r="P19" s="1067"/>
      <c r="Q19" s="1067"/>
      <c r="R19" s="1067"/>
      <c r="S19" s="1067"/>
      <c r="T19" s="1067"/>
      <c r="U19" s="1069"/>
      <c r="V19" s="981"/>
      <c r="W19" s="1071" t="s">
        <v>1013</v>
      </c>
      <c r="X19" s="981"/>
      <c r="Y19" s="981"/>
      <c r="Z19" s="981"/>
      <c r="AA19" s="981"/>
      <c r="AB19" s="981"/>
      <c r="AC19" s="981"/>
      <c r="AD19" s="981"/>
      <c r="AE19" s="981"/>
      <c r="AF19" s="981"/>
      <c r="AG19" s="981"/>
      <c r="AH19" s="981"/>
      <c r="AI19" s="981"/>
      <c r="AJ19" s="981"/>
      <c r="AK19" s="981"/>
      <c r="AL19" s="981"/>
      <c r="AM19" s="981"/>
      <c r="AN19" s="981"/>
      <c r="AO19" s="981"/>
      <c r="AP19" s="981"/>
      <c r="AQ19" s="981"/>
      <c r="AR19" s="981"/>
      <c r="AS19" s="981"/>
      <c r="AT19" s="981"/>
      <c r="AU19" s="981"/>
      <c r="AV19" s="981"/>
      <c r="AW19" s="981"/>
      <c r="AX19" s="981"/>
      <c r="AY19" s="981"/>
      <c r="AZ19" s="981"/>
      <c r="BA19" s="981"/>
      <c r="BB19" s="981"/>
      <c r="BC19" s="981"/>
      <c r="BD19" s="981"/>
      <c r="BE19" s="981"/>
      <c r="BF19" s="981"/>
      <c r="BG19" s="981"/>
    </row>
    <row r="20" spans="1:59" ht="16" customHeight="1">
      <c r="A20" s="981"/>
      <c r="B20" s="1072"/>
      <c r="C20" s="1070" t="s">
        <v>1014</v>
      </c>
      <c r="D20" s="1070">
        <v>6</v>
      </c>
      <c r="E20" s="1066"/>
      <c r="F20" s="1067">
        <f>SUM([16]Sheet2!E22*195/228)</f>
        <v>19446.11842105263</v>
      </c>
      <c r="G20" s="1067"/>
      <c r="H20" s="1067">
        <f t="shared" ref="H20:H39" si="0">IF($F20&gt;$W$12,($F20-$W$12)*$Y$12,"ERROR")</f>
        <v>1427.764342105263</v>
      </c>
      <c r="I20" s="1067"/>
      <c r="J20" s="1067">
        <f t="shared" ref="J20:J39" si="1">$F20*$X$15</f>
        <v>4686.5145394736837</v>
      </c>
      <c r="K20" s="1067"/>
      <c r="L20" s="1067">
        <f t="shared" ref="L20:L39" si="2">F20+ROUND(H20,0)+ROUND(J20,0)</f>
        <v>25561.11842105263</v>
      </c>
      <c r="M20" s="1067"/>
      <c r="N20" s="1068">
        <f t="shared" ref="N20:N39" si="3">F20</f>
        <v>19446.11842105263</v>
      </c>
      <c r="O20" s="1067"/>
      <c r="P20" s="1067"/>
      <c r="Q20" s="1067"/>
      <c r="R20" s="1067">
        <f t="shared" ref="R20:R39" si="4">IF($N20&gt;$W$12,($N20-$W$12)*$Y$12,"ERROR")</f>
        <v>1427.764342105263</v>
      </c>
      <c r="S20" s="1067"/>
      <c r="T20" s="1067">
        <f t="shared" ref="T20:T39" si="5">SUM(N20:R20)</f>
        <v>20873.882763157893</v>
      </c>
      <c r="U20" s="1069"/>
      <c r="V20" s="1073"/>
      <c r="W20" s="1071" t="s">
        <v>1015</v>
      </c>
      <c r="X20" s="981"/>
      <c r="Y20" s="981"/>
      <c r="Z20" s="981"/>
      <c r="AA20" s="981"/>
      <c r="AB20" s="981"/>
      <c r="AC20" s="981"/>
      <c r="AD20" s="981"/>
      <c r="AE20" s="981"/>
      <c r="AF20" s="981"/>
      <c r="AG20" s="981"/>
      <c r="AH20" s="981"/>
      <c r="AI20" s="981"/>
      <c r="AJ20" s="981"/>
      <c r="AK20" s="981"/>
      <c r="AL20" s="981"/>
      <c r="AM20" s="981"/>
      <c r="AN20" s="981"/>
      <c r="AO20" s="981"/>
      <c r="AP20" s="981"/>
      <c r="AQ20" s="981"/>
      <c r="AR20" s="981"/>
      <c r="AS20" s="981"/>
      <c r="AT20" s="981"/>
      <c r="AU20" s="981"/>
      <c r="AV20" s="981"/>
      <c r="AW20" s="981"/>
      <c r="AX20" s="981"/>
      <c r="AY20" s="981"/>
      <c r="AZ20" s="981"/>
      <c r="BA20" s="981"/>
      <c r="BB20" s="981"/>
      <c r="BC20" s="981"/>
      <c r="BD20" s="981"/>
      <c r="BE20" s="981"/>
      <c r="BF20" s="981"/>
      <c r="BG20" s="981"/>
    </row>
    <row r="21" spans="1:59" ht="16" customHeight="1">
      <c r="A21" s="981"/>
      <c r="B21" s="1072"/>
      <c r="C21" s="1070" t="s">
        <v>1011</v>
      </c>
      <c r="D21" s="1070">
        <v>7</v>
      </c>
      <c r="E21" s="1066"/>
      <c r="F21" s="1067">
        <f>SUM([16]Sheet2!E23*195/228)</f>
        <v>19762.565789473683</v>
      </c>
      <c r="G21" s="1067"/>
      <c r="H21" s="1067">
        <f t="shared" si="0"/>
        <v>1471.4340789473683</v>
      </c>
      <c r="I21" s="1067"/>
      <c r="J21" s="1067">
        <f t="shared" si="1"/>
        <v>4762.7783552631572</v>
      </c>
      <c r="K21" s="1067"/>
      <c r="L21" s="1067">
        <f t="shared" si="2"/>
        <v>25996.565789473683</v>
      </c>
      <c r="M21" s="1067"/>
      <c r="N21" s="1068">
        <f t="shared" si="3"/>
        <v>19762.565789473683</v>
      </c>
      <c r="O21" s="1067"/>
      <c r="P21" s="1067"/>
      <c r="Q21" s="1067"/>
      <c r="R21" s="1067">
        <f t="shared" si="4"/>
        <v>1471.4340789473683</v>
      </c>
      <c r="S21" s="1067"/>
      <c r="T21" s="1067">
        <f t="shared" si="5"/>
        <v>21233.999868421051</v>
      </c>
      <c r="U21" s="1069"/>
      <c r="V21" s="1073"/>
      <c r="W21" s="107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row>
    <row r="22" spans="1:59" ht="16" customHeight="1">
      <c r="A22" s="981"/>
      <c r="B22" s="1072"/>
      <c r="C22" s="1070" t="s">
        <v>1011</v>
      </c>
      <c r="D22" s="1070">
        <v>8</v>
      </c>
      <c r="E22" s="1066"/>
      <c r="F22" s="1067">
        <f>SUM([16]Sheet2!E24*195/228)</f>
        <v>20116.644736842107</v>
      </c>
      <c r="G22" s="1067"/>
      <c r="H22" s="1067">
        <f t="shared" si="0"/>
        <v>1520.2969736842108</v>
      </c>
      <c r="I22" s="1067"/>
      <c r="J22" s="1067">
        <f t="shared" si="1"/>
        <v>4848.1113815789477</v>
      </c>
      <c r="K22" s="1067"/>
      <c r="L22" s="1067">
        <f t="shared" si="2"/>
        <v>26484.644736842107</v>
      </c>
      <c r="M22" s="1067"/>
      <c r="N22" s="1068">
        <f t="shared" si="3"/>
        <v>20116.644736842107</v>
      </c>
      <c r="O22" s="1067"/>
      <c r="P22" s="1067"/>
      <c r="Q22" s="1067"/>
      <c r="R22" s="1067">
        <f t="shared" si="4"/>
        <v>1520.2969736842108</v>
      </c>
      <c r="S22" s="1067"/>
      <c r="T22" s="1067">
        <f t="shared" si="5"/>
        <v>21636.941710526316</v>
      </c>
      <c r="U22" s="1069"/>
      <c r="V22" s="1073"/>
      <c r="W22" s="1071" t="s">
        <v>1016</v>
      </c>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c r="AU22" s="981"/>
      <c r="AV22" s="981"/>
      <c r="AW22" s="981"/>
      <c r="AX22" s="981"/>
      <c r="AY22" s="981"/>
      <c r="AZ22" s="981"/>
      <c r="BA22" s="981"/>
      <c r="BB22" s="981"/>
      <c r="BC22" s="981"/>
      <c r="BD22" s="981"/>
      <c r="BE22" s="981"/>
      <c r="BF22" s="981"/>
      <c r="BG22" s="981"/>
    </row>
    <row r="23" spans="1:59" ht="16" customHeight="1">
      <c r="A23" s="981"/>
      <c r="B23" s="1072"/>
      <c r="C23" s="1074" t="s">
        <v>1011</v>
      </c>
      <c r="D23" s="1074">
        <v>9</v>
      </c>
      <c r="E23" s="1075"/>
      <c r="F23" s="1076">
        <f>SUM([16]Sheet2!E25*195/228)</f>
        <v>20434.802631578947</v>
      </c>
      <c r="G23" s="1076"/>
      <c r="H23" s="1076">
        <f t="shared" si="0"/>
        <v>1564.2027631578947</v>
      </c>
      <c r="I23" s="1076"/>
      <c r="J23" s="1076">
        <f t="shared" si="1"/>
        <v>4924.787434210526</v>
      </c>
      <c r="K23" s="1076"/>
      <c r="L23" s="1077">
        <f t="shared" si="2"/>
        <v>26923.802631578947</v>
      </c>
      <c r="M23" s="1076"/>
      <c r="N23" s="1078">
        <f t="shared" si="3"/>
        <v>20434.802631578947</v>
      </c>
      <c r="O23" s="1076"/>
      <c r="P23" s="1076"/>
      <c r="Q23" s="1076"/>
      <c r="R23" s="1076">
        <f t="shared" si="4"/>
        <v>1564.2027631578947</v>
      </c>
      <c r="S23" s="1076"/>
      <c r="T23" s="1076">
        <f t="shared" si="5"/>
        <v>21999.00539473684</v>
      </c>
      <c r="U23" s="1069"/>
      <c r="V23" s="981"/>
      <c r="W23" s="1071" t="s">
        <v>1017</v>
      </c>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c r="AU23" s="981"/>
      <c r="AV23" s="981"/>
      <c r="AW23" s="981"/>
      <c r="AX23" s="981"/>
      <c r="AY23" s="981"/>
      <c r="AZ23" s="981"/>
      <c r="BA23" s="981"/>
      <c r="BB23" s="981"/>
      <c r="BC23" s="981"/>
      <c r="BD23" s="981"/>
      <c r="BE23" s="981"/>
      <c r="BF23" s="981"/>
      <c r="BG23" s="981"/>
    </row>
    <row r="24" spans="1:59" ht="16" customHeight="1">
      <c r="A24" s="981"/>
      <c r="B24" s="1072"/>
      <c r="C24" s="1070" t="s">
        <v>1018</v>
      </c>
      <c r="D24" s="1070">
        <v>12</v>
      </c>
      <c r="E24" s="1066"/>
      <c r="F24" s="1067">
        <f>SUM([16]Sheet2!E28*195/228)</f>
        <v>21483.355263157893</v>
      </c>
      <c r="G24" s="1067"/>
      <c r="H24" s="1067">
        <f t="shared" si="0"/>
        <v>1708.9030263157895</v>
      </c>
      <c r="I24" s="1067"/>
      <c r="J24" s="1067">
        <f t="shared" si="1"/>
        <v>5177.4886184210518</v>
      </c>
      <c r="K24" s="1067"/>
      <c r="L24" s="1067">
        <f t="shared" si="2"/>
        <v>28369.355263157893</v>
      </c>
      <c r="M24" s="1067"/>
      <c r="N24" s="1068">
        <f t="shared" si="3"/>
        <v>21483.355263157893</v>
      </c>
      <c r="O24" s="1067"/>
      <c r="P24" s="1067"/>
      <c r="Q24" s="1067"/>
      <c r="R24" s="1067">
        <f t="shared" si="4"/>
        <v>1708.9030263157895</v>
      </c>
      <c r="S24" s="1067"/>
      <c r="T24" s="1067">
        <f t="shared" si="5"/>
        <v>23192.258289473684</v>
      </c>
      <c r="U24" s="1069"/>
      <c r="V24" s="1073"/>
      <c r="W24" s="1071"/>
      <c r="X24" s="981"/>
      <c r="Y24" s="981"/>
      <c r="Z24" s="981"/>
      <c r="AA24" s="981"/>
      <c r="AB24" s="981"/>
      <c r="AC24" s="981"/>
      <c r="AD24" s="981"/>
      <c r="AE24" s="981"/>
      <c r="AF24" s="981"/>
      <c r="AG24" s="981"/>
      <c r="AH24" s="981"/>
      <c r="AI24" s="981"/>
      <c r="AJ24" s="981"/>
      <c r="AK24" s="981"/>
      <c r="AL24" s="981"/>
      <c r="AM24" s="981"/>
      <c r="AN24" s="981"/>
      <c r="AO24" s="981"/>
      <c r="AP24" s="981"/>
      <c r="AQ24" s="981"/>
      <c r="AR24" s="981"/>
      <c r="AS24" s="981"/>
      <c r="AT24" s="981"/>
      <c r="AU24" s="981"/>
      <c r="AV24" s="981"/>
      <c r="AW24" s="981"/>
      <c r="AX24" s="981"/>
      <c r="AY24" s="981"/>
      <c r="AZ24" s="981"/>
      <c r="BA24" s="981"/>
      <c r="BB24" s="981"/>
      <c r="BC24" s="981"/>
      <c r="BD24" s="981"/>
      <c r="BE24" s="981"/>
      <c r="BF24" s="981"/>
      <c r="BG24" s="981"/>
    </row>
    <row r="25" spans="1:59" ht="16" customHeight="1">
      <c r="A25" s="981"/>
      <c r="B25" s="1072"/>
      <c r="C25" s="1070" t="s">
        <v>1019</v>
      </c>
      <c r="D25" s="1070">
        <v>13</v>
      </c>
      <c r="E25" s="1066"/>
      <c r="F25" s="1067">
        <f>SUM([16]Sheet2!E29*195/228)</f>
        <v>22203.486842105263</v>
      </c>
      <c r="G25" s="1067"/>
      <c r="H25" s="1067">
        <f t="shared" si="0"/>
        <v>1808.2811842105266</v>
      </c>
      <c r="I25" s="1067"/>
      <c r="J25" s="1067">
        <f t="shared" si="1"/>
        <v>5351.0403289473679</v>
      </c>
      <c r="K25" s="1067"/>
      <c r="L25" s="1067">
        <f t="shared" si="2"/>
        <v>29362.486842105263</v>
      </c>
      <c r="M25" s="1067"/>
      <c r="N25" s="1068">
        <f t="shared" si="3"/>
        <v>22203.486842105263</v>
      </c>
      <c r="O25" s="1067"/>
      <c r="P25" s="1067"/>
      <c r="Q25" s="1067"/>
      <c r="R25" s="1067">
        <f t="shared" si="4"/>
        <v>1808.2811842105266</v>
      </c>
      <c r="S25" s="1067"/>
      <c r="T25" s="1067">
        <f t="shared" si="5"/>
        <v>24011.768026315789</v>
      </c>
      <c r="U25" s="1069"/>
      <c r="V25" s="1073"/>
      <c r="W25" s="1071" t="s">
        <v>1020</v>
      </c>
      <c r="X25" s="981"/>
      <c r="Y25" s="981"/>
      <c r="Z25" s="981"/>
      <c r="AA25" s="981"/>
      <c r="AB25" s="981"/>
      <c r="AC25" s="981"/>
      <c r="AD25" s="981"/>
      <c r="AE25" s="981"/>
      <c r="AF25" s="981"/>
      <c r="AG25" s="981"/>
      <c r="AH25" s="981"/>
      <c r="AI25" s="981"/>
      <c r="AJ25" s="981"/>
      <c r="AK25" s="981"/>
      <c r="AL25" s="981"/>
      <c r="AM25" s="981"/>
      <c r="AN25" s="981"/>
      <c r="AO25" s="981"/>
      <c r="AP25" s="981"/>
      <c r="AQ25" s="981"/>
      <c r="AR25" s="981"/>
      <c r="AS25" s="981"/>
      <c r="AT25" s="981"/>
      <c r="AU25" s="981"/>
      <c r="AV25" s="981"/>
      <c r="AW25" s="981"/>
      <c r="AX25" s="981"/>
      <c r="AY25" s="981"/>
      <c r="AZ25" s="981"/>
      <c r="BA25" s="981"/>
      <c r="BB25" s="981"/>
      <c r="BC25" s="981"/>
      <c r="BD25" s="981"/>
      <c r="BE25" s="981"/>
      <c r="BF25" s="981"/>
      <c r="BG25" s="981"/>
    </row>
    <row r="26" spans="1:59" ht="16" customHeight="1">
      <c r="A26" s="981"/>
      <c r="B26" s="1072"/>
      <c r="C26" s="1070" t="s">
        <v>1011</v>
      </c>
      <c r="D26" s="1070">
        <v>14</v>
      </c>
      <c r="E26" s="1066"/>
      <c r="F26" s="1067">
        <f>SUM([16]Sheet2!E30*195/228)</f>
        <v>22992.894736842107</v>
      </c>
      <c r="G26" s="1067"/>
      <c r="H26" s="1067">
        <f t="shared" si="0"/>
        <v>1917.2194736842109</v>
      </c>
      <c r="I26" s="1067"/>
      <c r="J26" s="1067">
        <f t="shared" si="1"/>
        <v>5541.2876315789472</v>
      </c>
      <c r="K26" s="1067"/>
      <c r="L26" s="1067">
        <f t="shared" si="2"/>
        <v>30450.894736842107</v>
      </c>
      <c r="M26" s="1079"/>
      <c r="N26" s="1067">
        <f t="shared" si="3"/>
        <v>22992.894736842107</v>
      </c>
      <c r="O26" s="1067"/>
      <c r="P26" s="1067"/>
      <c r="Q26" s="1067"/>
      <c r="R26" s="1067">
        <f t="shared" si="4"/>
        <v>1917.2194736842109</v>
      </c>
      <c r="S26" s="1067"/>
      <c r="T26" s="1067">
        <f t="shared" si="5"/>
        <v>24910.114210526317</v>
      </c>
      <c r="U26" s="1069"/>
      <c r="V26" s="1073"/>
      <c r="W26" s="1071" t="s">
        <v>1021</v>
      </c>
      <c r="X26" s="981"/>
      <c r="Y26" s="981"/>
      <c r="Z26" s="981"/>
      <c r="AA26" s="981"/>
      <c r="AB26" s="981"/>
      <c r="AC26" s="981"/>
      <c r="AD26" s="981"/>
      <c r="AE26" s="981"/>
      <c r="AF26" s="981"/>
      <c r="AG26" s="981"/>
      <c r="AH26" s="981"/>
      <c r="AI26" s="981"/>
      <c r="AJ26" s="981"/>
      <c r="AK26" s="981"/>
      <c r="AL26" s="981"/>
      <c r="AM26" s="981"/>
      <c r="AN26" s="981"/>
      <c r="AO26" s="981"/>
      <c r="AP26" s="981"/>
      <c r="AQ26" s="981"/>
      <c r="AR26" s="981"/>
      <c r="AS26" s="981"/>
      <c r="AT26" s="981"/>
      <c r="AU26" s="981"/>
      <c r="AV26" s="981"/>
      <c r="AW26" s="981"/>
      <c r="AX26" s="981"/>
      <c r="AY26" s="981"/>
      <c r="AZ26" s="981"/>
      <c r="BA26" s="981"/>
      <c r="BB26" s="981"/>
      <c r="BC26" s="981"/>
      <c r="BD26" s="981"/>
      <c r="BE26" s="981"/>
      <c r="BF26" s="981"/>
      <c r="BG26" s="981"/>
    </row>
    <row r="27" spans="1:59" ht="16" customHeight="1">
      <c r="A27" s="981"/>
      <c r="B27" s="1072"/>
      <c r="C27" s="1074" t="s">
        <v>1011</v>
      </c>
      <c r="D27" s="1074">
        <v>15</v>
      </c>
      <c r="E27" s="1075"/>
      <c r="F27" s="1076">
        <f>SUM([16]Sheet2!E31*195/228)</f>
        <v>23778.88157894737</v>
      </c>
      <c r="G27" s="1076"/>
      <c r="H27" s="1076">
        <f t="shared" si="0"/>
        <v>2025.6856578947372</v>
      </c>
      <c r="I27" s="1076"/>
      <c r="J27" s="1076">
        <f t="shared" si="1"/>
        <v>5730.7104605263157</v>
      </c>
      <c r="K27" s="1076"/>
      <c r="L27" s="1076">
        <f t="shared" si="2"/>
        <v>31535.88157894737</v>
      </c>
      <c r="M27" s="1076"/>
      <c r="N27" s="1078">
        <f t="shared" si="3"/>
        <v>23778.88157894737</v>
      </c>
      <c r="O27" s="1076"/>
      <c r="P27" s="1076"/>
      <c r="Q27" s="1076"/>
      <c r="R27" s="1076">
        <f t="shared" si="4"/>
        <v>2025.6856578947372</v>
      </c>
      <c r="S27" s="1076"/>
      <c r="T27" s="1076">
        <f t="shared" si="5"/>
        <v>25804.567236842107</v>
      </c>
      <c r="U27" s="1069"/>
      <c r="V27" s="1073"/>
      <c r="W27" s="1071"/>
      <c r="X27" s="981"/>
      <c r="Y27" s="981"/>
      <c r="Z27" s="981"/>
      <c r="AA27" s="981"/>
      <c r="AB27" s="981"/>
      <c r="AC27" s="981"/>
      <c r="AD27" s="981"/>
      <c r="AE27" s="981"/>
      <c r="AF27" s="981"/>
      <c r="AG27" s="981"/>
      <c r="AH27" s="981"/>
      <c r="AI27" s="981"/>
      <c r="AJ27" s="981"/>
      <c r="AK27" s="981"/>
      <c r="AL27" s="981"/>
      <c r="AM27" s="981"/>
      <c r="AN27" s="981"/>
      <c r="AO27" s="981"/>
      <c r="AP27" s="981"/>
      <c r="AQ27" s="981"/>
      <c r="AR27" s="981"/>
      <c r="AS27" s="981"/>
      <c r="AT27" s="981"/>
      <c r="AU27" s="981"/>
      <c r="AV27" s="981"/>
      <c r="AW27" s="981"/>
      <c r="AX27" s="981"/>
      <c r="AY27" s="981"/>
      <c r="AZ27" s="981"/>
      <c r="BA27" s="981"/>
      <c r="BB27" s="981"/>
      <c r="BC27" s="981"/>
      <c r="BD27" s="981"/>
      <c r="BE27" s="981"/>
      <c r="BF27" s="981"/>
      <c r="BG27" s="981"/>
    </row>
    <row r="28" spans="1:59" ht="16" customHeight="1">
      <c r="A28" s="981"/>
      <c r="B28" s="1072"/>
      <c r="C28" s="1070" t="s">
        <v>1022</v>
      </c>
      <c r="D28" s="1070">
        <v>15</v>
      </c>
      <c r="E28" s="1066"/>
      <c r="F28" s="1067">
        <f>SUM([16]Sheet2!E31*195/228)</f>
        <v>23778.88157894737</v>
      </c>
      <c r="G28" s="1067"/>
      <c r="H28" s="1067">
        <f t="shared" si="0"/>
        <v>2025.6856578947372</v>
      </c>
      <c r="I28" s="1067"/>
      <c r="J28" s="1067">
        <f t="shared" si="1"/>
        <v>5730.7104605263157</v>
      </c>
      <c r="K28" s="1067"/>
      <c r="L28" s="1067">
        <f t="shared" si="2"/>
        <v>31535.88157894737</v>
      </c>
      <c r="M28" s="1067"/>
      <c r="N28" s="1068">
        <f t="shared" si="3"/>
        <v>23778.88157894737</v>
      </c>
      <c r="O28" s="1067"/>
      <c r="P28" s="1067"/>
      <c r="Q28" s="1067"/>
      <c r="R28" s="1067">
        <f t="shared" si="4"/>
        <v>2025.6856578947372</v>
      </c>
      <c r="S28" s="1067"/>
      <c r="T28" s="1067">
        <f t="shared" si="5"/>
        <v>25804.567236842107</v>
      </c>
      <c r="U28" s="1069"/>
      <c r="V28" s="1073"/>
      <c r="W28" s="1071" t="s">
        <v>1023</v>
      </c>
      <c r="X28" s="981"/>
      <c r="Y28" s="981"/>
      <c r="Z28" s="981"/>
      <c r="AA28" s="981"/>
      <c r="AB28" s="981"/>
      <c r="AC28" s="981"/>
      <c r="AD28" s="981"/>
      <c r="AE28" s="981"/>
      <c r="AF28" s="981"/>
      <c r="AG28" s="981"/>
      <c r="AH28" s="981"/>
      <c r="AI28" s="981"/>
      <c r="AJ28" s="981"/>
      <c r="AK28" s="981"/>
      <c r="AL28" s="981"/>
      <c r="AM28" s="981"/>
      <c r="AN28" s="981"/>
      <c r="AO28" s="981"/>
      <c r="AP28" s="981"/>
      <c r="AQ28" s="981"/>
      <c r="AR28" s="981"/>
      <c r="AS28" s="981"/>
      <c r="AT28" s="981"/>
      <c r="AU28" s="981"/>
      <c r="AV28" s="981"/>
      <c r="AW28" s="981"/>
      <c r="AX28" s="981"/>
      <c r="AY28" s="981"/>
      <c r="AZ28" s="981"/>
      <c r="BA28" s="981"/>
      <c r="BB28" s="981"/>
      <c r="BC28" s="981"/>
      <c r="BD28" s="981"/>
      <c r="BE28" s="981"/>
      <c r="BF28" s="981"/>
      <c r="BG28" s="981"/>
    </row>
    <row r="29" spans="1:59" ht="16" customHeight="1">
      <c r="A29" s="981"/>
      <c r="B29" s="1072"/>
      <c r="C29" s="1070" t="s">
        <v>1024</v>
      </c>
      <c r="D29" s="1070">
        <v>16</v>
      </c>
      <c r="E29" s="1066"/>
      <c r="F29" s="1067">
        <f>SUM([16]Sheet2!E32*195/228)</f>
        <v>24468.223684210527</v>
      </c>
      <c r="G29" s="1067"/>
      <c r="H29" s="1067">
        <f t="shared" si="0"/>
        <v>2120.8148684210528</v>
      </c>
      <c r="I29" s="1067"/>
      <c r="J29" s="1067">
        <f t="shared" si="1"/>
        <v>5896.8419078947363</v>
      </c>
      <c r="K29" s="1067"/>
      <c r="L29" s="1067">
        <f t="shared" si="2"/>
        <v>32486.223684210527</v>
      </c>
      <c r="M29" s="1067"/>
      <c r="N29" s="1068">
        <f t="shared" si="3"/>
        <v>24468.223684210527</v>
      </c>
      <c r="O29" s="1067"/>
      <c r="P29" s="1067"/>
      <c r="Q29" s="1067"/>
      <c r="R29" s="1067">
        <f t="shared" si="4"/>
        <v>2120.8148684210528</v>
      </c>
      <c r="S29" s="1067"/>
      <c r="T29" s="1067">
        <f t="shared" si="5"/>
        <v>26589.03855263158</v>
      </c>
      <c r="U29" s="1069"/>
      <c r="V29" s="1073"/>
      <c r="W29" s="1071" t="s">
        <v>1025</v>
      </c>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c r="AU29" s="981"/>
      <c r="AV29" s="981"/>
      <c r="AW29" s="981"/>
      <c r="AX29" s="981"/>
      <c r="AY29" s="981"/>
      <c r="AZ29" s="981"/>
      <c r="BA29" s="981"/>
      <c r="BB29" s="981"/>
      <c r="BC29" s="981"/>
      <c r="BD29" s="981"/>
      <c r="BE29" s="981"/>
      <c r="BF29" s="981"/>
      <c r="BG29" s="981"/>
    </row>
    <row r="30" spans="1:59" ht="16" customHeight="1">
      <c r="A30" s="981"/>
      <c r="B30" s="1072"/>
      <c r="C30" s="1070" t="s">
        <v>1026</v>
      </c>
      <c r="D30" s="1070">
        <v>17</v>
      </c>
      <c r="E30" s="1066"/>
      <c r="F30" s="1067">
        <f>SUM([16]Sheet2!E33*195/228)</f>
        <v>25155.855263157893</v>
      </c>
      <c r="G30" s="1067"/>
      <c r="H30" s="1067">
        <f t="shared" si="0"/>
        <v>2215.7080263157895</v>
      </c>
      <c r="I30" s="1067"/>
      <c r="J30" s="1067">
        <f t="shared" si="1"/>
        <v>6062.561118421052</v>
      </c>
      <c r="K30" s="1067"/>
      <c r="L30" s="1067">
        <f t="shared" si="2"/>
        <v>33434.855263157893</v>
      </c>
      <c r="M30" s="1067"/>
      <c r="N30" s="1068">
        <f t="shared" si="3"/>
        <v>25155.855263157893</v>
      </c>
      <c r="O30" s="1067"/>
      <c r="P30" s="1067"/>
      <c r="Q30" s="1067"/>
      <c r="R30" s="1067">
        <f t="shared" si="4"/>
        <v>2215.7080263157895</v>
      </c>
      <c r="S30" s="1067"/>
      <c r="T30" s="1067">
        <f t="shared" si="5"/>
        <v>27371.563289473685</v>
      </c>
      <c r="U30" s="1069"/>
      <c r="V30" s="1073"/>
      <c r="W30" s="1071" t="s">
        <v>1027</v>
      </c>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c r="AU30" s="981"/>
      <c r="AV30" s="981"/>
      <c r="AW30" s="981"/>
      <c r="AX30" s="981"/>
      <c r="AY30" s="981"/>
      <c r="AZ30" s="981"/>
      <c r="BA30" s="981"/>
      <c r="BB30" s="981"/>
      <c r="BC30" s="981"/>
      <c r="BD30" s="981"/>
      <c r="BE30" s="981"/>
      <c r="BF30" s="981"/>
      <c r="BG30" s="981"/>
    </row>
    <row r="31" spans="1:59" ht="16" customHeight="1">
      <c r="A31" s="981"/>
      <c r="B31" s="1072"/>
      <c r="C31" s="1074" t="s">
        <v>1011</v>
      </c>
      <c r="D31" s="1074">
        <v>18</v>
      </c>
      <c r="E31" s="1075"/>
      <c r="F31" s="1076">
        <f>SUM([16]Sheet2!E34*195/228)</f>
        <v>25911.052631578947</v>
      </c>
      <c r="G31" s="1076"/>
      <c r="H31" s="1076">
        <f t="shared" si="0"/>
        <v>2319.9252631578947</v>
      </c>
      <c r="I31" s="1076"/>
      <c r="J31" s="1076">
        <f t="shared" si="1"/>
        <v>6244.5636842105259</v>
      </c>
      <c r="K31" s="1076"/>
      <c r="L31" s="1076">
        <f t="shared" si="2"/>
        <v>34476.052631578947</v>
      </c>
      <c r="M31" s="1076"/>
      <c r="N31" s="1078">
        <f t="shared" si="3"/>
        <v>25911.052631578947</v>
      </c>
      <c r="O31" s="1076"/>
      <c r="P31" s="1076"/>
      <c r="Q31" s="1076"/>
      <c r="R31" s="1076">
        <f t="shared" si="4"/>
        <v>2319.9252631578947</v>
      </c>
      <c r="S31" s="1076"/>
      <c r="T31" s="1076">
        <f t="shared" si="5"/>
        <v>28230.97789473684</v>
      </c>
      <c r="U31" s="1069"/>
      <c r="V31" s="1073"/>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c r="AU31" s="981"/>
      <c r="AV31" s="981"/>
      <c r="AW31" s="981"/>
      <c r="AX31" s="981"/>
      <c r="AY31" s="981"/>
      <c r="AZ31" s="981"/>
      <c r="BA31" s="981"/>
      <c r="BB31" s="981"/>
      <c r="BC31" s="981"/>
      <c r="BD31" s="981"/>
      <c r="BE31" s="981"/>
      <c r="BF31" s="981"/>
      <c r="BG31" s="981"/>
    </row>
    <row r="32" spans="1:59" ht="16" customHeight="1">
      <c r="A32" s="981"/>
      <c r="B32" s="1072"/>
      <c r="C32" s="1070" t="s">
        <v>1028</v>
      </c>
      <c r="D32" s="1070">
        <v>18</v>
      </c>
      <c r="E32" s="1066"/>
      <c r="F32" s="1067">
        <f>SUM([16]Sheet2!E34*195/228)</f>
        <v>25911.052631578947</v>
      </c>
      <c r="G32" s="1067"/>
      <c r="H32" s="1067">
        <f t="shared" si="0"/>
        <v>2319.9252631578947</v>
      </c>
      <c r="I32" s="1067"/>
      <c r="J32" s="1067">
        <f t="shared" si="1"/>
        <v>6244.5636842105259</v>
      </c>
      <c r="K32" s="1067"/>
      <c r="L32" s="1067">
        <f>F32+ROUND(H32,0)+ROUND(J32,0)</f>
        <v>34476.052631578947</v>
      </c>
      <c r="M32" s="1067"/>
      <c r="N32" s="1068">
        <f>F32</f>
        <v>25911.052631578947</v>
      </c>
      <c r="O32" s="1067"/>
      <c r="P32" s="1067"/>
      <c r="Q32" s="1067"/>
      <c r="R32" s="1067">
        <f t="shared" si="4"/>
        <v>2319.9252631578947</v>
      </c>
      <c r="S32" s="1067"/>
      <c r="T32" s="1067">
        <f>SUM(N32:R32)</f>
        <v>28230.97789473684</v>
      </c>
      <c r="U32" s="1069"/>
      <c r="V32" s="1073"/>
      <c r="W32" s="981"/>
      <c r="X32" s="981"/>
      <c r="Y32" s="981"/>
      <c r="Z32" s="981"/>
      <c r="AA32" s="981"/>
      <c r="AB32" s="981"/>
      <c r="AC32" s="981"/>
      <c r="AD32" s="981"/>
      <c r="AE32" s="981"/>
      <c r="AF32" s="981"/>
      <c r="AG32" s="981"/>
      <c r="AH32" s="981"/>
      <c r="AI32" s="981"/>
      <c r="AJ32" s="981"/>
      <c r="AK32" s="981"/>
      <c r="AL32" s="981"/>
      <c r="AM32" s="981"/>
      <c r="AN32" s="981"/>
      <c r="AO32" s="981"/>
      <c r="AP32" s="981"/>
      <c r="AQ32" s="981"/>
      <c r="AR32" s="981"/>
      <c r="AS32" s="981"/>
      <c r="AT32" s="981"/>
      <c r="AU32" s="981"/>
      <c r="AV32" s="981"/>
      <c r="AW32" s="981"/>
      <c r="AX32" s="981"/>
      <c r="AY32" s="981"/>
      <c r="AZ32" s="981"/>
      <c r="BA32" s="981"/>
      <c r="BB32" s="981"/>
      <c r="BC32" s="981"/>
      <c r="BD32" s="981"/>
      <c r="BE32" s="981"/>
      <c r="BF32" s="981"/>
      <c r="BG32" s="981"/>
    </row>
    <row r="33" spans="1:59" ht="16" customHeight="1">
      <c r="A33" s="981"/>
      <c r="B33" s="1072"/>
      <c r="C33" s="1070" t="s">
        <v>1029</v>
      </c>
      <c r="D33" s="1070">
        <v>19</v>
      </c>
      <c r="E33" s="1066"/>
      <c r="F33" s="1067">
        <f>SUM([16]Sheet2!E35*195/228)</f>
        <v>26602.105263157893</v>
      </c>
      <c r="G33" s="1067"/>
      <c r="H33" s="1067">
        <f t="shared" si="0"/>
        <v>2415.2905263157895</v>
      </c>
      <c r="I33" s="1067"/>
      <c r="J33" s="1067">
        <f t="shared" si="1"/>
        <v>6411.1073684210523</v>
      </c>
      <c r="K33" s="1067"/>
      <c r="L33" s="1067">
        <f>F33+ROUND(H33,0)+ROUND(J33,0)</f>
        <v>35428.105263157893</v>
      </c>
      <c r="M33" s="1067"/>
      <c r="N33" s="1068">
        <f>F33</f>
        <v>26602.105263157893</v>
      </c>
      <c r="O33" s="1067"/>
      <c r="P33" s="1067"/>
      <c r="Q33" s="1067"/>
      <c r="R33" s="1067">
        <f t="shared" si="4"/>
        <v>2415.2905263157895</v>
      </c>
      <c r="S33" s="1067"/>
      <c r="T33" s="1067">
        <f>SUM(N33:R33)</f>
        <v>29017.395789473681</v>
      </c>
      <c r="U33" s="1069"/>
      <c r="V33" s="1073"/>
      <c r="W33" s="981"/>
      <c r="X33" s="981"/>
      <c r="Y33" s="981"/>
      <c r="Z33" s="981"/>
      <c r="AA33" s="981"/>
      <c r="AB33" s="981"/>
      <c r="AC33" s="981"/>
      <c r="AD33" s="981"/>
      <c r="AE33" s="981"/>
      <c r="AF33" s="981"/>
      <c r="AG33" s="981"/>
      <c r="AH33" s="981"/>
      <c r="AI33" s="981"/>
      <c r="AJ33" s="981"/>
      <c r="AK33" s="981"/>
      <c r="AL33" s="981"/>
      <c r="AM33" s="981"/>
      <c r="AN33" s="981"/>
      <c r="AO33" s="981"/>
      <c r="AP33" s="981"/>
      <c r="AQ33" s="981"/>
      <c r="AR33" s="981"/>
      <c r="AS33" s="981"/>
      <c r="AT33" s="981"/>
      <c r="AU33" s="981"/>
      <c r="AV33" s="981"/>
      <c r="AW33" s="981"/>
      <c r="AX33" s="981"/>
      <c r="AY33" s="981"/>
      <c r="AZ33" s="981"/>
      <c r="BA33" s="981"/>
      <c r="BB33" s="981"/>
      <c r="BC33" s="981"/>
      <c r="BD33" s="981"/>
      <c r="BE33" s="981"/>
      <c r="BF33" s="981"/>
      <c r="BG33" s="981"/>
    </row>
    <row r="34" spans="1:59" ht="16" customHeight="1">
      <c r="A34" s="981"/>
      <c r="B34" s="1072"/>
      <c r="C34" s="1070" t="s">
        <v>1030</v>
      </c>
      <c r="D34" s="1070">
        <v>20</v>
      </c>
      <c r="E34" s="1066"/>
      <c r="F34" s="1067">
        <f>SUM([16]Sheet2!E36*195/228)</f>
        <v>27423.157894736843</v>
      </c>
      <c r="G34" s="1067"/>
      <c r="H34" s="1067">
        <f t="shared" si="0"/>
        <v>2528.5957894736848</v>
      </c>
      <c r="I34" s="1067"/>
      <c r="J34" s="1067">
        <f t="shared" si="1"/>
        <v>6608.9810526315787</v>
      </c>
      <c r="K34" s="1067"/>
      <c r="L34" s="1067">
        <f>F34+ROUND(H34,0)+ROUND(J34,0)</f>
        <v>36561.15789473684</v>
      </c>
      <c r="M34" s="1067"/>
      <c r="N34" s="1068">
        <f>F34</f>
        <v>27423.157894736843</v>
      </c>
      <c r="O34" s="1067"/>
      <c r="P34" s="1067"/>
      <c r="Q34" s="1067"/>
      <c r="R34" s="1067">
        <f t="shared" si="4"/>
        <v>2528.5957894736848</v>
      </c>
      <c r="S34" s="1067"/>
      <c r="T34" s="1067">
        <f>SUM(N34:R34)</f>
        <v>29951.753684210529</v>
      </c>
      <c r="U34" s="1069"/>
      <c r="V34" s="1073"/>
      <c r="W34" s="981"/>
      <c r="X34" s="981"/>
      <c r="Y34" s="981"/>
      <c r="Z34" s="981"/>
      <c r="AA34" s="981"/>
      <c r="AB34" s="981"/>
      <c r="AC34" s="981"/>
      <c r="AD34" s="981"/>
      <c r="AE34" s="981"/>
      <c r="AF34" s="981"/>
      <c r="AG34" s="981"/>
      <c r="AH34" s="981"/>
      <c r="AI34" s="981"/>
      <c r="AJ34" s="981"/>
      <c r="AK34" s="981"/>
      <c r="AL34" s="981"/>
      <c r="AM34" s="981"/>
      <c r="AN34" s="981"/>
      <c r="AO34" s="981"/>
      <c r="AP34" s="981"/>
      <c r="AQ34" s="981"/>
      <c r="AR34" s="981"/>
      <c r="AS34" s="981"/>
      <c r="AT34" s="981"/>
      <c r="AU34" s="981"/>
      <c r="AV34" s="981"/>
      <c r="AW34" s="981"/>
      <c r="AX34" s="981"/>
      <c r="AY34" s="981"/>
      <c r="AZ34" s="981"/>
      <c r="BA34" s="981"/>
      <c r="BB34" s="981"/>
      <c r="BC34" s="981"/>
      <c r="BD34" s="981"/>
      <c r="BE34" s="981"/>
      <c r="BF34" s="981"/>
      <c r="BG34" s="981"/>
    </row>
    <row r="35" spans="1:59" ht="16" customHeight="1">
      <c r="A35" s="981"/>
      <c r="B35" s="1072"/>
      <c r="C35" s="1074" t="s">
        <v>1011</v>
      </c>
      <c r="D35" s="1074">
        <v>21</v>
      </c>
      <c r="E35" s="1075"/>
      <c r="F35" s="1076">
        <f>SUM([16]Sheet2!E37*195/228)</f>
        <v>28244.21052631579</v>
      </c>
      <c r="G35" s="1076"/>
      <c r="H35" s="1076">
        <f t="shared" si="0"/>
        <v>2641.9010526315792</v>
      </c>
      <c r="I35" s="1076"/>
      <c r="J35" s="1076">
        <f t="shared" si="1"/>
        <v>6806.854736842105</v>
      </c>
      <c r="K35" s="1076"/>
      <c r="L35" s="1076">
        <f>F35+ROUND(H35,0)+ROUND(J35,0)</f>
        <v>37693.210526315786</v>
      </c>
      <c r="M35" s="1076"/>
      <c r="N35" s="1078">
        <f>F35</f>
        <v>28244.21052631579</v>
      </c>
      <c r="O35" s="1076"/>
      <c r="P35" s="1076"/>
      <c r="Q35" s="1076"/>
      <c r="R35" s="1076">
        <f t="shared" si="4"/>
        <v>2641.9010526315792</v>
      </c>
      <c r="S35" s="1076"/>
      <c r="T35" s="1076">
        <f>SUM(N35:R35)</f>
        <v>30886.11157894737</v>
      </c>
      <c r="U35" s="1069"/>
      <c r="V35" s="1073"/>
      <c r="W35" s="981"/>
      <c r="X35" s="981"/>
      <c r="Y35" s="981"/>
      <c r="Z35" s="981"/>
      <c r="AA35" s="981"/>
      <c r="AB35" s="981"/>
      <c r="AC35" s="981"/>
      <c r="AD35" s="981"/>
      <c r="AE35" s="981"/>
      <c r="AF35" s="981"/>
      <c r="AG35" s="981"/>
      <c r="AH35" s="981"/>
      <c r="AI35" s="981"/>
      <c r="AJ35" s="981"/>
      <c r="AK35" s="981"/>
      <c r="AL35" s="981"/>
      <c r="AM35" s="981"/>
      <c r="AN35" s="981"/>
      <c r="AO35" s="981"/>
      <c r="AP35" s="981"/>
      <c r="AQ35" s="981"/>
      <c r="AR35" s="981"/>
      <c r="AS35" s="981"/>
      <c r="AT35" s="981"/>
      <c r="AU35" s="981"/>
      <c r="AV35" s="981"/>
      <c r="AW35" s="981"/>
      <c r="AX35" s="981"/>
      <c r="AY35" s="981"/>
      <c r="AZ35" s="981"/>
      <c r="BA35" s="981"/>
      <c r="BB35" s="981"/>
      <c r="BC35" s="981"/>
      <c r="BD35" s="981"/>
      <c r="BE35" s="981"/>
      <c r="BF35" s="981"/>
      <c r="BG35" s="981"/>
    </row>
    <row r="36" spans="1:59" ht="16" customHeight="1">
      <c r="A36" s="981"/>
      <c r="B36" s="1072"/>
      <c r="C36" s="1070" t="s">
        <v>1031</v>
      </c>
      <c r="D36" s="1070">
        <v>21</v>
      </c>
      <c r="E36" s="1066"/>
      <c r="F36" s="1067">
        <f>SUM([16]Sheet2!E37*195/225)</f>
        <v>28620.799999999999</v>
      </c>
      <c r="G36" s="1067"/>
      <c r="H36" s="1067">
        <f t="shared" si="0"/>
        <v>2693.8704000000002</v>
      </c>
      <c r="I36" s="1067"/>
      <c r="J36" s="1067">
        <f t="shared" si="1"/>
        <v>6897.6127999999999</v>
      </c>
      <c r="K36" s="1067"/>
      <c r="L36" s="1067">
        <f t="shared" si="2"/>
        <v>38212.800000000003</v>
      </c>
      <c r="M36" s="1067"/>
      <c r="N36" s="1068">
        <f t="shared" si="3"/>
        <v>28620.799999999999</v>
      </c>
      <c r="O36" s="1067"/>
      <c r="P36" s="1067"/>
      <c r="Q36" s="1067"/>
      <c r="R36" s="1067">
        <f t="shared" si="4"/>
        <v>2693.8704000000002</v>
      </c>
      <c r="S36" s="1067"/>
      <c r="T36" s="1067">
        <f t="shared" si="5"/>
        <v>31314.670399999999</v>
      </c>
      <c r="U36" s="1069"/>
      <c r="V36" s="1073"/>
      <c r="W36" s="981"/>
      <c r="X36" s="981"/>
      <c r="Y36" s="981"/>
      <c r="Z36" s="981"/>
      <c r="AA36" s="981"/>
      <c r="AB36" s="981"/>
      <c r="AC36" s="981"/>
      <c r="AD36" s="981"/>
      <c r="AE36" s="981"/>
      <c r="AF36" s="981"/>
      <c r="AG36" s="981"/>
      <c r="AH36" s="981"/>
      <c r="AI36" s="981"/>
      <c r="AJ36" s="981"/>
      <c r="AK36" s="981"/>
      <c r="AL36" s="981"/>
      <c r="AM36" s="981"/>
      <c r="AN36" s="981"/>
      <c r="AO36" s="981"/>
      <c r="AP36" s="981"/>
      <c r="AQ36" s="981"/>
      <c r="AR36" s="981"/>
      <c r="AS36" s="981"/>
      <c r="AT36" s="981"/>
      <c r="AU36" s="981"/>
      <c r="AV36" s="981"/>
      <c r="AW36" s="981"/>
      <c r="AX36" s="981"/>
      <c r="AY36" s="981"/>
      <c r="AZ36" s="981"/>
      <c r="BA36" s="981"/>
      <c r="BB36" s="981"/>
      <c r="BC36" s="981"/>
      <c r="BD36" s="981"/>
      <c r="BE36" s="981"/>
      <c r="BF36" s="981"/>
      <c r="BG36" s="981"/>
    </row>
    <row r="37" spans="1:59" ht="16" customHeight="1">
      <c r="A37" s="981"/>
      <c r="B37" s="1072"/>
      <c r="C37" s="1070" t="s">
        <v>1032</v>
      </c>
      <c r="D37" s="1070">
        <v>22</v>
      </c>
      <c r="E37" s="1066"/>
      <c r="F37" s="1067">
        <f>SUM([16]Sheet2!E38*195/225)</f>
        <v>29721.466666666667</v>
      </c>
      <c r="G37" s="1067"/>
      <c r="H37" s="1067">
        <f t="shared" si="0"/>
        <v>2845.7624000000005</v>
      </c>
      <c r="I37" s="1067"/>
      <c r="J37" s="1067">
        <f t="shared" si="1"/>
        <v>7162.8734666666669</v>
      </c>
      <c r="K37" s="1067"/>
      <c r="L37" s="1067">
        <f t="shared" si="2"/>
        <v>39730.466666666667</v>
      </c>
      <c r="M37" s="1067"/>
      <c r="N37" s="1068">
        <f t="shared" si="3"/>
        <v>29721.466666666667</v>
      </c>
      <c r="O37" s="1067"/>
      <c r="P37" s="1067"/>
      <c r="Q37" s="1067"/>
      <c r="R37" s="1067">
        <f t="shared" si="4"/>
        <v>2845.7624000000005</v>
      </c>
      <c r="S37" s="1067"/>
      <c r="T37" s="1067">
        <f t="shared" si="5"/>
        <v>32567.229066666667</v>
      </c>
      <c r="U37" s="1069"/>
      <c r="V37" s="1073"/>
      <c r="W37" s="981"/>
      <c r="X37" s="981"/>
      <c r="Y37" s="981"/>
      <c r="Z37" s="981"/>
      <c r="AA37" s="981"/>
      <c r="AB37" s="981"/>
      <c r="AC37" s="981"/>
      <c r="AD37" s="981"/>
      <c r="AE37" s="981"/>
      <c r="AF37" s="981"/>
      <c r="AG37" s="981"/>
      <c r="AH37" s="981"/>
      <c r="AI37" s="981"/>
      <c r="AJ37" s="981"/>
      <c r="AK37" s="981"/>
      <c r="AL37" s="981"/>
      <c r="AM37" s="981"/>
      <c r="AN37" s="981"/>
      <c r="AO37" s="981"/>
      <c r="AP37" s="981"/>
      <c r="AQ37" s="981"/>
      <c r="AR37" s="981"/>
      <c r="AS37" s="981"/>
      <c r="AT37" s="981"/>
      <c r="AU37" s="981"/>
      <c r="AV37" s="981"/>
      <c r="AW37" s="981"/>
      <c r="AX37" s="981"/>
      <c r="AY37" s="981"/>
      <c r="AZ37" s="981"/>
      <c r="BA37" s="981"/>
      <c r="BB37" s="981"/>
      <c r="BC37" s="981"/>
      <c r="BD37" s="981"/>
      <c r="BE37" s="981"/>
      <c r="BF37" s="981"/>
      <c r="BG37" s="981"/>
    </row>
    <row r="38" spans="1:59" ht="16" customHeight="1">
      <c r="A38" s="981"/>
      <c r="B38" s="1072"/>
      <c r="C38" s="1070" t="s">
        <v>1033</v>
      </c>
      <c r="D38" s="1070">
        <v>23</v>
      </c>
      <c r="E38" s="1066"/>
      <c r="F38" s="1067">
        <f>SUM([16]Sheet2!E39*195/225)</f>
        <v>30719.866666666665</v>
      </c>
      <c r="G38" s="1067"/>
      <c r="H38" s="1067">
        <f t="shared" si="0"/>
        <v>2983.5416</v>
      </c>
      <c r="I38" s="1067"/>
      <c r="J38" s="1067">
        <f t="shared" si="1"/>
        <v>7403.4878666666664</v>
      </c>
      <c r="K38" s="1067"/>
      <c r="L38" s="1067">
        <f>F38+ROUND(H38,0)+ROUND(J38,0)</f>
        <v>41106.866666666669</v>
      </c>
      <c r="M38" s="1067"/>
      <c r="N38" s="1068">
        <f>F38</f>
        <v>30719.866666666665</v>
      </c>
      <c r="O38" s="1067"/>
      <c r="P38" s="1067"/>
      <c r="Q38" s="1067"/>
      <c r="R38" s="1067">
        <f t="shared" si="4"/>
        <v>2983.5416</v>
      </c>
      <c r="S38" s="1067"/>
      <c r="T38" s="1067">
        <f>SUM(N38:R38)</f>
        <v>33703.408266666665</v>
      </c>
      <c r="U38" s="1069"/>
      <c r="V38" s="1073"/>
      <c r="W38" s="981"/>
      <c r="X38" s="981"/>
      <c r="Y38" s="981"/>
      <c r="Z38" s="981"/>
      <c r="AA38" s="981"/>
      <c r="AB38" s="981"/>
      <c r="AC38" s="981"/>
      <c r="AD38" s="981"/>
      <c r="AE38" s="981"/>
      <c r="AF38" s="981"/>
      <c r="AG38" s="981"/>
      <c r="AH38" s="981"/>
      <c r="AI38" s="981"/>
      <c r="AJ38" s="981"/>
      <c r="AK38" s="981"/>
      <c r="AL38" s="981"/>
      <c r="AM38" s="981"/>
      <c r="AN38" s="981"/>
      <c r="AO38" s="981"/>
      <c r="AP38" s="981"/>
      <c r="AQ38" s="981"/>
      <c r="AR38" s="981"/>
      <c r="AS38" s="981"/>
      <c r="AT38" s="981"/>
      <c r="AU38" s="981"/>
      <c r="AV38" s="981"/>
      <c r="AW38" s="981"/>
      <c r="AX38" s="981"/>
      <c r="AY38" s="981"/>
      <c r="AZ38" s="981"/>
      <c r="BA38" s="981"/>
      <c r="BB38" s="981"/>
      <c r="BC38" s="981"/>
      <c r="BD38" s="981"/>
      <c r="BE38" s="981"/>
      <c r="BF38" s="981"/>
      <c r="BG38" s="981"/>
    </row>
    <row r="39" spans="1:59" ht="16" customHeight="1">
      <c r="A39" s="981"/>
      <c r="B39" s="1072"/>
      <c r="C39" s="1070" t="s">
        <v>1011</v>
      </c>
      <c r="D39" s="1070">
        <v>24</v>
      </c>
      <c r="E39" s="1066"/>
      <c r="F39" s="1067">
        <f>SUM([16]Sheet2!E40*195/225)</f>
        <v>31761.599999999999</v>
      </c>
      <c r="G39" s="1067"/>
      <c r="H39" s="1067">
        <f t="shared" si="0"/>
        <v>3127.3008</v>
      </c>
      <c r="I39" s="1067"/>
      <c r="J39" s="1067">
        <f t="shared" si="1"/>
        <v>7654.5455999999995</v>
      </c>
      <c r="K39" s="1067"/>
      <c r="L39" s="1067">
        <f t="shared" si="2"/>
        <v>42543.6</v>
      </c>
      <c r="M39" s="1067"/>
      <c r="N39" s="1068">
        <f t="shared" si="3"/>
        <v>31761.599999999999</v>
      </c>
      <c r="O39" s="1067"/>
      <c r="P39" s="1067"/>
      <c r="Q39" s="1067"/>
      <c r="R39" s="1067">
        <f t="shared" si="4"/>
        <v>3127.3008</v>
      </c>
      <c r="S39" s="1067"/>
      <c r="T39" s="1067">
        <f t="shared" si="5"/>
        <v>34888.900799999996</v>
      </c>
      <c r="U39" s="1069"/>
      <c r="V39" s="1073"/>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c r="AU39" s="981"/>
      <c r="AV39" s="981"/>
      <c r="AW39" s="981"/>
      <c r="AX39" s="981"/>
      <c r="AY39" s="981"/>
      <c r="AZ39" s="981"/>
      <c r="BA39" s="981"/>
      <c r="BB39" s="981"/>
      <c r="BC39" s="981"/>
      <c r="BD39" s="981"/>
      <c r="BE39" s="981"/>
      <c r="BF39" s="981"/>
      <c r="BG39" s="981"/>
    </row>
    <row r="40" spans="1:59" ht="16" thickBot="1">
      <c r="A40" s="981"/>
      <c r="B40" s="1080"/>
      <c r="C40" s="1081"/>
      <c r="D40" s="1081"/>
      <c r="E40" s="1082"/>
      <c r="F40" s="1083"/>
      <c r="G40" s="1083"/>
      <c r="H40" s="1083"/>
      <c r="I40" s="1083"/>
      <c r="J40" s="1083"/>
      <c r="K40" s="1083"/>
      <c r="L40" s="1083"/>
      <c r="M40" s="1083"/>
      <c r="N40" s="1084"/>
      <c r="O40" s="1083"/>
      <c r="P40" s="1083"/>
      <c r="Q40" s="1083"/>
      <c r="R40" s="1083"/>
      <c r="S40" s="1083"/>
      <c r="T40" s="1083"/>
      <c r="U40" s="1085"/>
      <c r="V40" s="1073"/>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c r="AU40" s="981"/>
      <c r="AV40" s="981"/>
      <c r="AW40" s="981"/>
      <c r="AX40" s="981"/>
      <c r="AY40" s="981"/>
      <c r="AZ40" s="981"/>
      <c r="BA40" s="981"/>
      <c r="BB40" s="981"/>
      <c r="BC40" s="981"/>
      <c r="BD40" s="981"/>
      <c r="BE40" s="981"/>
      <c r="BF40" s="981"/>
      <c r="BG40" s="981"/>
    </row>
    <row r="41" spans="1:59" ht="16" customHeight="1">
      <c r="A41" s="981"/>
      <c r="B41" s="981"/>
      <c r="C41" s="981"/>
      <c r="D41" s="981"/>
      <c r="E41" s="981"/>
      <c r="F41" s="981"/>
      <c r="G41" s="981"/>
      <c r="H41" s="981"/>
      <c r="I41" s="981"/>
      <c r="J41" s="981"/>
      <c r="K41" s="981"/>
      <c r="L41" s="981"/>
      <c r="M41" s="981"/>
      <c r="N41" s="981"/>
      <c r="O41" s="981"/>
      <c r="P41" s="981"/>
      <c r="Q41" s="981"/>
      <c r="R41" s="981"/>
      <c r="S41" s="981"/>
      <c r="T41" s="981"/>
      <c r="U41" s="981"/>
      <c r="V41" s="1073"/>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c r="AU41" s="981"/>
      <c r="AV41" s="981"/>
      <c r="AW41" s="981"/>
      <c r="AX41" s="981"/>
      <c r="AY41" s="981"/>
      <c r="AZ41" s="981"/>
      <c r="BA41" s="981"/>
      <c r="BB41" s="981"/>
      <c r="BC41" s="981"/>
      <c r="BD41" s="981"/>
      <c r="BE41" s="981"/>
      <c r="BF41" s="981"/>
      <c r="BG41" s="981"/>
    </row>
    <row r="42" spans="1:59" ht="16"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c r="AU42" s="981"/>
      <c r="AV42" s="981"/>
      <c r="AW42" s="981"/>
      <c r="AX42" s="981"/>
      <c r="AY42" s="981"/>
      <c r="AZ42" s="981"/>
      <c r="BA42" s="981"/>
      <c r="BB42" s="981"/>
      <c r="BC42" s="981"/>
      <c r="BD42" s="981"/>
      <c r="BE42" s="981"/>
      <c r="BF42" s="981"/>
      <c r="BG42" s="981"/>
    </row>
    <row r="43" spans="1:59">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c r="AU43" s="981"/>
      <c r="AV43" s="981"/>
      <c r="AW43" s="981"/>
      <c r="AX43" s="981"/>
      <c r="AY43" s="981"/>
      <c r="AZ43" s="981"/>
      <c r="BA43" s="981"/>
      <c r="BB43" s="981"/>
      <c r="BC43" s="981"/>
      <c r="BD43" s="981"/>
      <c r="BE43" s="981"/>
      <c r="BF43" s="981"/>
      <c r="BG43" s="981"/>
    </row>
    <row r="44" spans="1:59">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c r="AU44" s="981"/>
      <c r="AV44" s="981"/>
      <c r="AW44" s="981"/>
      <c r="AX44" s="981"/>
      <c r="AY44" s="981"/>
      <c r="AZ44" s="981"/>
      <c r="BA44" s="981"/>
      <c r="BB44" s="981"/>
      <c r="BC44" s="981"/>
      <c r="BD44" s="981"/>
      <c r="BE44" s="981"/>
      <c r="BF44" s="981"/>
      <c r="BG44" s="981"/>
    </row>
    <row r="45" spans="1:59">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c r="AU45" s="981"/>
      <c r="AV45" s="981"/>
      <c r="AW45" s="981"/>
      <c r="AX45" s="981"/>
      <c r="AY45" s="981"/>
      <c r="AZ45" s="981"/>
      <c r="BA45" s="981"/>
      <c r="BB45" s="981"/>
      <c r="BC45" s="981"/>
      <c r="BD45" s="981"/>
      <c r="BE45" s="981"/>
      <c r="BF45" s="981"/>
      <c r="BG45" s="981"/>
    </row>
    <row r="46" spans="1:59">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c r="AU46" s="981"/>
      <c r="AV46" s="981"/>
      <c r="AW46" s="981"/>
      <c r="AX46" s="981"/>
      <c r="AY46" s="981"/>
      <c r="AZ46" s="981"/>
      <c r="BA46" s="981"/>
      <c r="BB46" s="981"/>
      <c r="BC46" s="981"/>
      <c r="BD46" s="981"/>
      <c r="BE46" s="981"/>
      <c r="BF46" s="981"/>
      <c r="BG46" s="981"/>
    </row>
    <row r="47" spans="1:59">
      <c r="A47" s="981"/>
      <c r="B47" s="981"/>
      <c r="C47" s="981"/>
      <c r="D47" s="981"/>
      <c r="E47" s="981"/>
      <c r="F47" s="981"/>
      <c r="G47" s="981"/>
      <c r="H47" s="981"/>
      <c r="I47" s="981"/>
      <c r="J47" s="981"/>
      <c r="K47" s="981"/>
      <c r="L47" s="981"/>
      <c r="M47" s="981"/>
      <c r="N47" s="981"/>
      <c r="O47" s="981"/>
      <c r="P47" s="981"/>
      <c r="Q47" s="981"/>
      <c r="R47" s="981"/>
      <c r="S47" s="981"/>
      <c r="T47" s="981"/>
      <c r="U47" s="981"/>
      <c r="V47" s="981"/>
      <c r="W47" s="981"/>
      <c r="X47" s="981"/>
      <c r="Y47" s="981"/>
      <c r="Z47" s="981"/>
      <c r="AA47" s="981"/>
      <c r="AB47" s="981"/>
      <c r="AC47" s="981"/>
      <c r="AD47" s="981"/>
      <c r="AE47" s="981"/>
      <c r="AF47" s="981"/>
      <c r="AG47" s="981"/>
      <c r="AH47" s="981"/>
      <c r="AI47" s="981"/>
      <c r="AJ47" s="981"/>
      <c r="AK47" s="981"/>
      <c r="AL47" s="981"/>
      <c r="AM47" s="981"/>
      <c r="AN47" s="981"/>
      <c r="AO47" s="981"/>
      <c r="AP47" s="981"/>
      <c r="AQ47" s="981"/>
      <c r="AR47" s="981"/>
      <c r="AS47" s="981"/>
      <c r="AT47" s="981"/>
      <c r="AU47" s="981"/>
      <c r="AV47" s="981"/>
      <c r="AW47" s="981"/>
      <c r="AX47" s="981"/>
      <c r="AY47" s="981"/>
      <c r="AZ47" s="981"/>
      <c r="BA47" s="981"/>
      <c r="BB47" s="981"/>
      <c r="BC47" s="981"/>
      <c r="BD47" s="981"/>
      <c r="BE47" s="981"/>
      <c r="BF47" s="981"/>
      <c r="BG47" s="981"/>
    </row>
    <row r="48" spans="1:59">
      <c r="A48" s="981"/>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c r="AU48" s="981"/>
      <c r="AV48" s="981"/>
      <c r="AW48" s="981"/>
      <c r="AX48" s="981"/>
      <c r="AY48" s="981"/>
      <c r="AZ48" s="981"/>
      <c r="BA48" s="981"/>
      <c r="BB48" s="981"/>
      <c r="BC48" s="981"/>
      <c r="BD48" s="981"/>
      <c r="BE48" s="981"/>
      <c r="BF48" s="981"/>
      <c r="BG48" s="981"/>
    </row>
    <row r="49" spans="1:59">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c r="AU49" s="981"/>
      <c r="AV49" s="981"/>
      <c r="AW49" s="981"/>
      <c r="AX49" s="981"/>
      <c r="AY49" s="981"/>
      <c r="AZ49" s="981"/>
      <c r="BA49" s="981"/>
      <c r="BB49" s="981"/>
      <c r="BC49" s="981"/>
      <c r="BD49" s="981"/>
      <c r="BE49" s="981"/>
      <c r="BF49" s="981"/>
      <c r="BG49" s="981"/>
    </row>
    <row r="50" spans="1:59">
      <c r="A50" s="981"/>
      <c r="B50" s="981"/>
      <c r="C50" s="981"/>
      <c r="D50" s="981"/>
      <c r="E50" s="981"/>
      <c r="F50" s="981"/>
      <c r="G50" s="981"/>
      <c r="H50" s="981"/>
      <c r="I50" s="981"/>
      <c r="J50" s="981"/>
      <c r="K50" s="981"/>
      <c r="L50" s="981"/>
      <c r="M50" s="981"/>
      <c r="N50" s="981"/>
      <c r="O50" s="981"/>
      <c r="P50" s="981"/>
      <c r="Q50" s="981"/>
      <c r="R50" s="981"/>
      <c r="S50" s="981"/>
      <c r="T50" s="981"/>
      <c r="U50" s="981"/>
      <c r="V50" s="981"/>
      <c r="W50" s="981"/>
      <c r="X50" s="981"/>
      <c r="Y50" s="981"/>
      <c r="Z50" s="981"/>
      <c r="AA50" s="981"/>
      <c r="AB50" s="981"/>
      <c r="AC50" s="981"/>
      <c r="AD50" s="981"/>
      <c r="AE50" s="981"/>
      <c r="AF50" s="981"/>
      <c r="AG50" s="981"/>
      <c r="AH50" s="981"/>
      <c r="AI50" s="981"/>
      <c r="AJ50" s="981"/>
      <c r="AK50" s="981"/>
      <c r="AL50" s="981"/>
      <c r="AM50" s="981"/>
      <c r="AN50" s="981"/>
      <c r="AO50" s="981"/>
      <c r="AP50" s="981"/>
      <c r="AQ50" s="981"/>
      <c r="AR50" s="981"/>
      <c r="AS50" s="981"/>
      <c r="AT50" s="981"/>
      <c r="AU50" s="981"/>
      <c r="AV50" s="981"/>
      <c r="AW50" s="981"/>
      <c r="AX50" s="981"/>
      <c r="AY50" s="981"/>
      <c r="AZ50" s="981"/>
      <c r="BA50" s="981"/>
      <c r="BB50" s="981"/>
      <c r="BC50" s="981"/>
      <c r="BD50" s="981"/>
      <c r="BE50" s="981"/>
      <c r="BF50" s="981"/>
      <c r="BG50" s="981"/>
    </row>
    <row r="51" spans="1:59">
      <c r="A51" s="981"/>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c r="AU51" s="981"/>
      <c r="AV51" s="981"/>
      <c r="AW51" s="981"/>
      <c r="AX51" s="981"/>
      <c r="AY51" s="981"/>
      <c r="AZ51" s="981"/>
      <c r="BA51" s="981"/>
      <c r="BB51" s="981"/>
      <c r="BC51" s="981"/>
      <c r="BD51" s="981"/>
      <c r="BE51" s="981"/>
      <c r="BF51" s="981"/>
      <c r="BG51" s="981"/>
    </row>
    <row r="52" spans="1:59">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c r="AU52" s="981"/>
      <c r="AV52" s="981"/>
      <c r="AW52" s="981"/>
      <c r="AX52" s="981"/>
      <c r="AY52" s="981"/>
      <c r="AZ52" s="981"/>
      <c r="BA52" s="981"/>
      <c r="BB52" s="981"/>
      <c r="BC52" s="981"/>
      <c r="BD52" s="981"/>
      <c r="BE52" s="981"/>
      <c r="BF52" s="981"/>
      <c r="BG52" s="981"/>
    </row>
    <row r="53" spans="1:59">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c r="AU53" s="981"/>
      <c r="AV53" s="981"/>
      <c r="AW53" s="981"/>
      <c r="AX53" s="981"/>
      <c r="AY53" s="981"/>
      <c r="AZ53" s="981"/>
      <c r="BA53" s="981"/>
      <c r="BB53" s="981"/>
      <c r="BC53" s="981"/>
      <c r="BD53" s="981"/>
      <c r="BE53" s="981"/>
      <c r="BF53" s="981"/>
      <c r="BG53" s="981"/>
    </row>
    <row r="54" spans="1:59">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c r="AU54" s="981"/>
      <c r="AV54" s="981"/>
      <c r="AW54" s="981"/>
      <c r="AX54" s="981"/>
      <c r="AY54" s="981"/>
      <c r="AZ54" s="981"/>
      <c r="BA54" s="981"/>
      <c r="BB54" s="981"/>
      <c r="BC54" s="981"/>
      <c r="BD54" s="981"/>
      <c r="BE54" s="981"/>
      <c r="BF54" s="981"/>
      <c r="BG54" s="981"/>
    </row>
    <row r="55" spans="1:59">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c r="AU55" s="981"/>
      <c r="AV55" s="981"/>
      <c r="AW55" s="981"/>
      <c r="AX55" s="981"/>
      <c r="AY55" s="981"/>
      <c r="AZ55" s="981"/>
      <c r="BA55" s="981"/>
      <c r="BB55" s="981"/>
      <c r="BC55" s="981"/>
      <c r="BD55" s="981"/>
      <c r="BE55" s="981"/>
      <c r="BF55" s="981"/>
      <c r="BG55" s="981"/>
    </row>
    <row r="56" spans="1:59">
      <c r="A56" s="981"/>
      <c r="B56" s="981"/>
      <c r="C56" s="981"/>
      <c r="D56" s="981"/>
      <c r="E56" s="981"/>
      <c r="F56" s="981"/>
      <c r="G56" s="981"/>
      <c r="H56" s="981"/>
      <c r="I56" s="981"/>
      <c r="J56" s="981"/>
      <c r="K56" s="981"/>
      <c r="L56" s="981"/>
      <c r="M56" s="981"/>
      <c r="N56" s="981"/>
      <c r="O56" s="981"/>
      <c r="P56" s="981"/>
      <c r="Q56" s="981"/>
      <c r="R56" s="981"/>
      <c r="S56" s="981"/>
      <c r="T56" s="981"/>
      <c r="U56" s="981"/>
      <c r="V56" s="981"/>
      <c r="W56" s="981"/>
      <c r="X56" s="981"/>
      <c r="Y56" s="981"/>
      <c r="Z56" s="981"/>
      <c r="AA56" s="981"/>
      <c r="AB56" s="981"/>
      <c r="AC56" s="981"/>
      <c r="AD56" s="981"/>
      <c r="AE56" s="981"/>
      <c r="AF56" s="981"/>
      <c r="AG56" s="981"/>
      <c r="AH56" s="981"/>
      <c r="AI56" s="981"/>
      <c r="AJ56" s="981"/>
      <c r="AK56" s="981"/>
      <c r="AL56" s="981"/>
      <c r="AM56" s="981"/>
      <c r="AN56" s="981"/>
      <c r="AO56" s="981"/>
      <c r="AP56" s="981"/>
      <c r="AQ56" s="981"/>
      <c r="AR56" s="981"/>
      <c r="AS56" s="981"/>
      <c r="AT56" s="981"/>
      <c r="AU56" s="981"/>
      <c r="AV56" s="981"/>
      <c r="AW56" s="981"/>
      <c r="AX56" s="981"/>
      <c r="AY56" s="981"/>
      <c r="AZ56" s="981"/>
      <c r="BA56" s="981"/>
      <c r="BB56" s="981"/>
      <c r="BC56" s="981"/>
      <c r="BD56" s="981"/>
      <c r="BE56" s="981"/>
      <c r="BF56" s="981"/>
      <c r="BG56" s="981"/>
    </row>
    <row r="57" spans="1:59">
      <c r="A57" s="981"/>
      <c r="B57" s="981"/>
      <c r="C57" s="981"/>
      <c r="D57" s="981"/>
      <c r="E57" s="981"/>
      <c r="F57" s="981"/>
      <c r="G57" s="981"/>
      <c r="H57" s="981"/>
      <c r="I57" s="981"/>
      <c r="J57" s="981"/>
      <c r="K57" s="981"/>
      <c r="L57" s="981"/>
      <c r="M57" s="981"/>
      <c r="N57" s="981"/>
      <c r="O57" s="981"/>
      <c r="P57" s="981"/>
      <c r="Q57" s="981"/>
      <c r="R57" s="981"/>
      <c r="S57" s="981"/>
      <c r="T57" s="981"/>
      <c r="U57" s="981"/>
      <c r="V57" s="981"/>
      <c r="W57" s="981"/>
      <c r="X57" s="981"/>
      <c r="Y57" s="981"/>
      <c r="Z57" s="981"/>
      <c r="AA57" s="981"/>
      <c r="AB57" s="981"/>
      <c r="AC57" s="981"/>
      <c r="AD57" s="981"/>
      <c r="AE57" s="981"/>
      <c r="AF57" s="981"/>
      <c r="AG57" s="981"/>
      <c r="AH57" s="981"/>
      <c r="AI57" s="981"/>
      <c r="AJ57" s="981"/>
      <c r="AK57" s="981"/>
      <c r="AL57" s="981"/>
      <c r="AM57" s="981"/>
      <c r="AN57" s="981"/>
      <c r="AO57" s="981"/>
      <c r="AP57" s="981"/>
      <c r="AQ57" s="981"/>
      <c r="AR57" s="981"/>
      <c r="AS57" s="981"/>
      <c r="AT57" s="981"/>
      <c r="AU57" s="981"/>
      <c r="AV57" s="981"/>
      <c r="AW57" s="981"/>
      <c r="AX57" s="981"/>
      <c r="AY57" s="981"/>
      <c r="AZ57" s="981"/>
      <c r="BA57" s="981"/>
      <c r="BB57" s="981"/>
      <c r="BC57" s="981"/>
      <c r="BD57" s="981"/>
      <c r="BE57" s="981"/>
      <c r="BF57" s="981"/>
      <c r="BG57" s="981"/>
    </row>
    <row r="58" spans="1:59">
      <c r="A58" s="981"/>
      <c r="B58" s="981"/>
      <c r="C58" s="981"/>
      <c r="D58" s="981"/>
      <c r="E58" s="981"/>
      <c r="F58" s="981"/>
      <c r="G58" s="981"/>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c r="AL58" s="981"/>
      <c r="AM58" s="981"/>
      <c r="AN58" s="981"/>
      <c r="AO58" s="981"/>
      <c r="AP58" s="981"/>
      <c r="AQ58" s="981"/>
      <c r="AR58" s="981"/>
      <c r="AS58" s="981"/>
      <c r="AT58" s="981"/>
      <c r="AU58" s="981"/>
      <c r="AV58" s="981"/>
      <c r="AW58" s="981"/>
      <c r="AX58" s="981"/>
      <c r="AY58" s="981"/>
      <c r="AZ58" s="981"/>
      <c r="BA58" s="981"/>
      <c r="BB58" s="981"/>
      <c r="BC58" s="981"/>
      <c r="BD58" s="981"/>
      <c r="BE58" s="981"/>
      <c r="BF58" s="981"/>
      <c r="BG58" s="981"/>
    </row>
    <row r="59" spans="1:59">
      <c r="A59" s="981"/>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row>
    <row r="60" spans="1:59">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row>
    <row r="61" spans="1:59">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row>
    <row r="62" spans="1:59">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row>
    <row r="63" spans="1:59">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row>
    <row r="64" spans="1:59">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row>
    <row r="65" spans="1:59">
      <c r="A65" s="981"/>
      <c r="B65" s="981"/>
      <c r="C65" s="981"/>
      <c r="D65" s="981"/>
      <c r="E65" s="981"/>
      <c r="F65" s="981"/>
      <c r="G65" s="981"/>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c r="AL65" s="981"/>
      <c r="AM65" s="981"/>
      <c r="AN65" s="981"/>
      <c r="AO65" s="981"/>
      <c r="AP65" s="981"/>
      <c r="AQ65" s="981"/>
      <c r="AR65" s="981"/>
      <c r="AS65" s="981"/>
      <c r="AT65" s="981"/>
      <c r="AU65" s="981"/>
      <c r="AV65" s="981"/>
      <c r="AW65" s="981"/>
      <c r="AX65" s="981"/>
      <c r="AY65" s="981"/>
      <c r="AZ65" s="981"/>
      <c r="BA65" s="981"/>
      <c r="BB65" s="981"/>
      <c r="BC65" s="981"/>
      <c r="BD65" s="981"/>
      <c r="BE65" s="981"/>
      <c r="BF65" s="981"/>
      <c r="BG65" s="981"/>
    </row>
    <row r="66" spans="1:59">
      <c r="A66" s="981"/>
      <c r="B66" s="981"/>
      <c r="C66" s="981"/>
      <c r="D66" s="981"/>
      <c r="E66" s="981"/>
      <c r="F66" s="981"/>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c r="AL66" s="981"/>
      <c r="AM66" s="981"/>
      <c r="AN66" s="981"/>
      <c r="AO66" s="981"/>
      <c r="AP66" s="981"/>
      <c r="AQ66" s="981"/>
      <c r="AR66" s="981"/>
      <c r="AS66" s="981"/>
      <c r="AT66" s="981"/>
      <c r="AU66" s="981"/>
      <c r="AV66" s="981"/>
      <c r="AW66" s="981"/>
      <c r="AX66" s="981"/>
      <c r="AY66" s="981"/>
      <c r="AZ66" s="981"/>
      <c r="BA66" s="981"/>
      <c r="BB66" s="981"/>
      <c r="BC66" s="981"/>
      <c r="BD66" s="981"/>
      <c r="BE66" s="981"/>
      <c r="BF66" s="981"/>
      <c r="BG66" s="981"/>
    </row>
    <row r="67" spans="1:59">
      <c r="A67" s="981"/>
      <c r="B67" s="981"/>
      <c r="C67" s="981"/>
      <c r="D67" s="981"/>
      <c r="E67" s="981"/>
      <c r="F67" s="981"/>
      <c r="G67" s="981"/>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c r="AL67" s="981"/>
      <c r="AM67" s="981"/>
      <c r="AN67" s="981"/>
      <c r="AO67" s="981"/>
      <c r="AP67" s="981"/>
      <c r="AQ67" s="981"/>
      <c r="AR67" s="981"/>
      <c r="AS67" s="981"/>
      <c r="AT67" s="981"/>
      <c r="AU67" s="981"/>
      <c r="AV67" s="981"/>
      <c r="AW67" s="981"/>
      <c r="AX67" s="981"/>
      <c r="AY67" s="981"/>
      <c r="AZ67" s="981"/>
      <c r="BA67" s="981"/>
      <c r="BB67" s="981"/>
      <c r="BC67" s="981"/>
      <c r="BD67" s="981"/>
      <c r="BE67" s="981"/>
      <c r="BF67" s="981"/>
      <c r="BG67" s="981"/>
    </row>
    <row r="68" spans="1:59">
      <c r="A68" s="981"/>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c r="AU68" s="981"/>
      <c r="AV68" s="981"/>
      <c r="AW68" s="981"/>
      <c r="AX68" s="981"/>
      <c r="AY68" s="981"/>
      <c r="AZ68" s="981"/>
      <c r="BA68" s="981"/>
      <c r="BB68" s="981"/>
      <c r="BC68" s="981"/>
      <c r="BD68" s="981"/>
      <c r="BE68" s="981"/>
      <c r="BF68" s="981"/>
      <c r="BG68" s="981"/>
    </row>
    <row r="69" spans="1:59">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c r="AU69" s="981"/>
      <c r="AV69" s="981"/>
      <c r="AW69" s="981"/>
      <c r="AX69" s="981"/>
      <c r="AY69" s="981"/>
      <c r="AZ69" s="981"/>
      <c r="BA69" s="981"/>
      <c r="BB69" s="981"/>
      <c r="BC69" s="981"/>
      <c r="BD69" s="981"/>
      <c r="BE69" s="981"/>
      <c r="BF69" s="981"/>
      <c r="BG69" s="981"/>
    </row>
    <row r="70" spans="1:59">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c r="AU70" s="981"/>
      <c r="AV70" s="981"/>
      <c r="AW70" s="981"/>
      <c r="AX70" s="981"/>
      <c r="AY70" s="981"/>
      <c r="AZ70" s="981"/>
      <c r="BA70" s="981"/>
      <c r="BB70" s="981"/>
      <c r="BC70" s="981"/>
      <c r="BD70" s="981"/>
      <c r="BE70" s="981"/>
      <c r="BF70" s="981"/>
      <c r="BG70" s="981"/>
    </row>
    <row r="71" spans="1:59">
      <c r="A71" s="981"/>
      <c r="B71" s="981"/>
      <c r="C71" s="981"/>
      <c r="D71" s="981"/>
      <c r="E71" s="981"/>
      <c r="F71" s="981"/>
      <c r="G71" s="981"/>
      <c r="H71" s="981"/>
      <c r="I71" s="981"/>
      <c r="J71" s="981"/>
      <c r="K71" s="981"/>
      <c r="L71" s="981"/>
      <c r="M71" s="981"/>
      <c r="N71" s="981"/>
      <c r="O71" s="981"/>
      <c r="P71" s="981"/>
      <c r="Q71" s="981"/>
      <c r="R71" s="981"/>
      <c r="S71" s="981"/>
      <c r="T71" s="981"/>
      <c r="U71" s="981"/>
      <c r="V71" s="981"/>
      <c r="W71" s="981"/>
      <c r="X71" s="981"/>
      <c r="Y71" s="981"/>
      <c r="Z71" s="981"/>
      <c r="AA71" s="981"/>
      <c r="AB71" s="981"/>
      <c r="AC71" s="981"/>
      <c r="AD71" s="981"/>
      <c r="AE71" s="981"/>
      <c r="AF71" s="981"/>
      <c r="AG71" s="981"/>
      <c r="AH71" s="981"/>
      <c r="AI71" s="981"/>
      <c r="AJ71" s="981"/>
      <c r="AK71" s="981"/>
      <c r="AL71" s="981"/>
      <c r="AM71" s="981"/>
      <c r="AN71" s="981"/>
      <c r="AO71" s="981"/>
      <c r="AP71" s="981"/>
      <c r="AQ71" s="981"/>
      <c r="AR71" s="981"/>
      <c r="AS71" s="981"/>
      <c r="AT71" s="981"/>
      <c r="AU71" s="981"/>
      <c r="AV71" s="981"/>
      <c r="AW71" s="981"/>
      <c r="AX71" s="981"/>
      <c r="AY71" s="981"/>
      <c r="AZ71" s="981"/>
      <c r="BA71" s="981"/>
      <c r="BB71" s="981"/>
      <c r="BC71" s="981"/>
      <c r="BD71" s="981"/>
      <c r="BE71" s="981"/>
      <c r="BF71" s="981"/>
      <c r="BG71" s="981"/>
    </row>
    <row r="72" spans="1:59">
      <c r="A72" s="981"/>
      <c r="B72" s="981"/>
      <c r="C72" s="981"/>
      <c r="D72" s="981"/>
      <c r="E72" s="981"/>
      <c r="F72" s="981"/>
      <c r="G72" s="981"/>
      <c r="H72" s="981"/>
      <c r="I72" s="981"/>
      <c r="J72" s="981"/>
      <c r="K72" s="981"/>
      <c r="L72" s="981"/>
      <c r="M72" s="981"/>
      <c r="N72" s="981"/>
      <c r="O72" s="981"/>
      <c r="P72" s="981"/>
      <c r="Q72" s="981"/>
      <c r="R72" s="981"/>
      <c r="S72" s="981"/>
      <c r="T72" s="981"/>
      <c r="U72" s="981"/>
      <c r="V72" s="981"/>
      <c r="W72" s="981"/>
      <c r="X72" s="981"/>
      <c r="Y72" s="981"/>
      <c r="Z72" s="981"/>
      <c r="AA72" s="981"/>
      <c r="AB72" s="981"/>
      <c r="AC72" s="981"/>
      <c r="AD72" s="981"/>
      <c r="AE72" s="981"/>
      <c r="AF72" s="981"/>
      <c r="AG72" s="981"/>
      <c r="AH72" s="981"/>
      <c r="AI72" s="981"/>
      <c r="AJ72" s="981"/>
      <c r="AK72" s="981"/>
      <c r="AL72" s="981"/>
      <c r="AM72" s="981"/>
      <c r="AN72" s="981"/>
      <c r="AO72" s="981"/>
      <c r="AP72" s="981"/>
      <c r="AQ72" s="981"/>
      <c r="AR72" s="981"/>
      <c r="AS72" s="981"/>
      <c r="AT72" s="981"/>
      <c r="AU72" s="981"/>
      <c r="AV72" s="981"/>
      <c r="AW72" s="981"/>
      <c r="AX72" s="981"/>
      <c r="AY72" s="981"/>
      <c r="AZ72" s="981"/>
      <c r="BA72" s="981"/>
      <c r="BB72" s="981"/>
      <c r="BC72" s="981"/>
      <c r="BD72" s="981"/>
      <c r="BE72" s="981"/>
      <c r="BF72" s="981"/>
      <c r="BG72" s="981"/>
    </row>
  </sheetData>
  <mergeCells count="3">
    <mergeCell ref="C9:D9"/>
    <mergeCell ref="B15:M15"/>
    <mergeCell ref="N15:U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I45"/>
  <sheetViews>
    <sheetView showGridLines="0" showRowColHeaders="0" workbookViewId="0">
      <selection activeCell="M15" sqref="M15"/>
    </sheetView>
  </sheetViews>
  <sheetFormatPr defaultColWidth="9" defaultRowHeight="14"/>
  <cols>
    <col min="1" max="1" width="1.5" style="1" customWidth="1"/>
    <col min="2" max="2" width="10" style="1" customWidth="1"/>
    <col min="3" max="3" width="13.25" style="1" customWidth="1"/>
    <col min="4" max="4" width="1.58203125" style="1" customWidth="1"/>
    <col min="5" max="6" width="13.25" style="1" customWidth="1"/>
    <col min="7" max="7" width="1.58203125" style="1" customWidth="1"/>
    <col min="8" max="8" width="13.25" style="1" customWidth="1"/>
    <col min="9" max="9" width="9" style="1" customWidth="1"/>
    <col min="10" max="10" width="1.58203125" style="1" customWidth="1"/>
    <col min="11" max="16384" width="9" style="1"/>
  </cols>
  <sheetData>
    <row r="2" spans="2:9">
      <c r="B2" s="1107" t="s">
        <v>36</v>
      </c>
      <c r="C2" s="1107"/>
      <c r="D2" s="1107"/>
      <c r="E2" s="1107"/>
      <c r="F2" s="1107"/>
      <c r="G2" s="1107"/>
    </row>
    <row r="4" spans="2:9">
      <c r="C4" s="1107"/>
      <c r="D4" s="1107"/>
      <c r="E4" s="1107"/>
      <c r="F4" s="1107"/>
      <c r="G4" s="1107"/>
      <c r="H4" s="1107"/>
    </row>
    <row r="5" spans="2:9">
      <c r="C5" s="2"/>
      <c r="D5" s="2"/>
      <c r="E5" s="2"/>
      <c r="F5" s="2"/>
      <c r="G5" s="2"/>
      <c r="H5" s="2"/>
      <c r="I5" s="2"/>
    </row>
    <row r="7" spans="2:9">
      <c r="B7" s="20" t="s">
        <v>37</v>
      </c>
      <c r="C7" s="1110" t="s">
        <v>38</v>
      </c>
      <c r="D7" s="1110"/>
      <c r="E7" s="1110"/>
      <c r="F7" s="1110"/>
      <c r="G7" s="1110"/>
      <c r="H7" s="1110"/>
      <c r="I7" s="1110"/>
    </row>
    <row r="8" spans="2:9">
      <c r="B8" s="20"/>
    </row>
    <row r="9" spans="2:9">
      <c r="B9" s="20" t="s">
        <v>39</v>
      </c>
      <c r="C9" s="1111" t="s">
        <v>40</v>
      </c>
      <c r="D9" s="1111"/>
      <c r="E9" s="1111"/>
      <c r="F9" s="1111"/>
      <c r="G9" s="1111"/>
      <c r="H9" s="1111"/>
      <c r="I9" s="1111"/>
    </row>
    <row r="10" spans="2:9">
      <c r="B10" s="20"/>
    </row>
    <row r="11" spans="2:9">
      <c r="B11" s="20" t="s">
        <v>41</v>
      </c>
      <c r="C11" s="21" t="s">
        <v>42</v>
      </c>
      <c r="E11" s="20" t="s">
        <v>43</v>
      </c>
      <c r="F11" s="21" t="s">
        <v>44</v>
      </c>
      <c r="H11" s="20" t="s">
        <v>45</v>
      </c>
      <c r="I11" s="21" t="s">
        <v>46</v>
      </c>
    </row>
    <row r="15" spans="2:9">
      <c r="B15" s="3"/>
      <c r="C15" s="3"/>
      <c r="D15" s="3"/>
      <c r="E15" s="3"/>
      <c r="F15" s="3"/>
      <c r="G15" s="3"/>
      <c r="H15" s="3"/>
      <c r="I15" s="3"/>
    </row>
    <row r="16" spans="2:9">
      <c r="B16" s="4"/>
      <c r="C16" s="1106"/>
      <c r="D16" s="1106"/>
      <c r="E16" s="1106"/>
      <c r="F16" s="1106"/>
      <c r="G16" s="1106"/>
      <c r="H16" s="1106"/>
      <c r="I16" s="1106"/>
    </row>
    <row r="17" spans="2:9">
      <c r="B17" s="4"/>
      <c r="C17" s="1106"/>
      <c r="D17" s="1106"/>
      <c r="E17" s="1106"/>
      <c r="F17" s="1106"/>
      <c r="G17" s="1106"/>
      <c r="H17" s="1106"/>
      <c r="I17" s="1106"/>
    </row>
    <row r="18" spans="2:9">
      <c r="B18" s="4"/>
      <c r="C18" s="1106" t="s">
        <v>47</v>
      </c>
      <c r="D18" s="1106"/>
      <c r="E18" s="1106"/>
      <c r="F18" s="1106"/>
      <c r="G18" s="1106"/>
      <c r="H18" s="1106"/>
      <c r="I18" s="1106"/>
    </row>
    <row r="19" spans="2:9">
      <c r="B19" s="1111" t="s">
        <v>48</v>
      </c>
      <c r="C19" s="1106"/>
      <c r="D19" s="1106"/>
      <c r="E19" s="1106"/>
      <c r="F19" s="1106"/>
      <c r="G19" s="1106"/>
      <c r="H19" s="1106"/>
      <c r="I19" s="1106"/>
    </row>
    <row r="20" spans="2:9">
      <c r="B20" s="1111"/>
      <c r="C20" s="1106"/>
      <c r="D20" s="1106"/>
      <c r="E20" s="1106"/>
      <c r="F20" s="1106"/>
      <c r="G20" s="1106"/>
      <c r="H20" s="1106"/>
      <c r="I20" s="1106"/>
    </row>
    <row r="21" spans="2:9">
      <c r="B21" s="1111"/>
      <c r="C21" s="1106"/>
      <c r="D21" s="1106"/>
      <c r="E21" s="1106"/>
      <c r="F21" s="1106"/>
      <c r="G21" s="1106"/>
      <c r="H21" s="1106"/>
      <c r="I21" s="1106"/>
    </row>
    <row r="22" spans="2:9">
      <c r="C22" s="1106"/>
      <c r="D22" s="1106"/>
      <c r="E22" s="1106"/>
      <c r="F22" s="1106"/>
      <c r="G22" s="1106"/>
      <c r="H22" s="1106"/>
      <c r="I22" s="1106"/>
    </row>
    <row r="23" spans="2:9">
      <c r="C23" s="1106"/>
      <c r="D23" s="1106"/>
      <c r="E23" s="1106"/>
      <c r="F23" s="1106"/>
      <c r="G23" s="1106"/>
      <c r="H23" s="1106"/>
      <c r="I23" s="1106"/>
    </row>
    <row r="24" spans="2:9" ht="14.25" customHeight="1">
      <c r="C24" s="1106" t="s">
        <v>49</v>
      </c>
      <c r="D24" s="1106"/>
      <c r="E24" s="1106"/>
      <c r="F24" s="1106"/>
      <c r="G24" s="1106"/>
      <c r="H24" s="1106"/>
      <c r="I24" s="1106"/>
    </row>
    <row r="25" spans="2:9" ht="14.25" customHeight="1">
      <c r="B25" s="1111" t="s">
        <v>50</v>
      </c>
      <c r="C25" s="1106" t="s">
        <v>51</v>
      </c>
      <c r="D25" s="1106"/>
      <c r="E25" s="1106"/>
      <c r="F25" s="1105" t="s">
        <v>52</v>
      </c>
      <c r="G25" s="1105"/>
      <c r="H25" s="1105"/>
      <c r="I25" s="1105"/>
    </row>
    <row r="26" spans="2:9" ht="14.25" customHeight="1">
      <c r="B26" s="1111"/>
      <c r="C26" s="1106"/>
      <c r="D26" s="1106"/>
      <c r="E26" s="1106"/>
      <c r="F26" s="1106"/>
      <c r="G26" s="1106"/>
      <c r="H26" s="1106"/>
      <c r="I26" s="1106"/>
    </row>
    <row r="27" spans="2:9" ht="14.25" customHeight="1">
      <c r="B27" s="1111"/>
      <c r="C27" s="1109" t="s">
        <v>53</v>
      </c>
      <c r="D27" s="1109"/>
      <c r="E27" s="1109"/>
      <c r="F27" s="1105" t="s">
        <v>54</v>
      </c>
      <c r="G27" s="1105"/>
      <c r="H27" s="1105"/>
      <c r="I27" s="1105"/>
    </row>
    <row r="28" spans="2:9" ht="14.25" customHeight="1">
      <c r="B28" s="1111"/>
      <c r="C28" s="1108"/>
      <c r="D28" s="1108"/>
      <c r="E28" s="1108"/>
      <c r="F28" s="1105"/>
      <c r="G28" s="1105"/>
      <c r="H28" s="1105"/>
      <c r="I28" s="1105"/>
    </row>
    <row r="29" spans="2:9" ht="14.25" customHeight="1">
      <c r="B29" s="1111"/>
      <c r="C29" s="1108" t="s">
        <v>55</v>
      </c>
      <c r="D29" s="1108"/>
      <c r="E29" s="1108"/>
      <c r="F29" s="1105" t="s">
        <v>56</v>
      </c>
      <c r="G29" s="1105"/>
      <c r="H29" s="1105"/>
      <c r="I29" s="1105"/>
    </row>
    <row r="30" spans="2:9" ht="14.25" customHeight="1">
      <c r="B30" s="1111"/>
      <c r="C30" s="1108"/>
      <c r="D30" s="1108"/>
      <c r="E30" s="1108"/>
      <c r="F30" s="1105"/>
      <c r="G30" s="1105"/>
      <c r="H30" s="1105"/>
      <c r="I30" s="1105"/>
    </row>
    <row r="31" spans="2:9">
      <c r="C31" s="1112" t="s">
        <v>57</v>
      </c>
      <c r="D31" s="1112"/>
      <c r="E31" s="1112"/>
      <c r="F31" s="1105" t="s">
        <v>58</v>
      </c>
      <c r="G31" s="1105"/>
      <c r="H31" s="1105"/>
      <c r="I31" s="1105"/>
    </row>
    <row r="32" spans="2:9">
      <c r="C32" s="1106"/>
      <c r="D32" s="1106"/>
      <c r="E32" s="1106"/>
      <c r="F32" s="1106"/>
      <c r="G32" s="1106"/>
      <c r="H32" s="1106"/>
      <c r="I32" s="1106"/>
    </row>
    <row r="33" spans="2:9">
      <c r="C33" s="1106" t="s">
        <v>59</v>
      </c>
      <c r="D33" s="1106"/>
      <c r="E33" s="1106"/>
      <c r="F33" s="1106"/>
      <c r="G33" s="1106"/>
      <c r="H33" s="1106"/>
      <c r="I33" s="1106"/>
    </row>
    <row r="34" spans="2:9">
      <c r="B34" s="1111" t="s">
        <v>60</v>
      </c>
      <c r="C34" s="1106"/>
      <c r="D34" s="1106"/>
      <c r="E34" s="1106"/>
      <c r="F34" s="1106"/>
      <c r="G34" s="1106"/>
      <c r="H34" s="1106"/>
      <c r="I34" s="1106"/>
    </row>
    <row r="35" spans="2:9">
      <c r="B35" s="1111"/>
      <c r="C35" s="1106"/>
      <c r="D35" s="1106"/>
      <c r="E35" s="1106"/>
      <c r="F35" s="1106"/>
      <c r="G35" s="1106"/>
      <c r="H35" s="1106"/>
      <c r="I35" s="1106"/>
    </row>
    <row r="36" spans="2:9">
      <c r="B36" s="1111"/>
      <c r="C36" s="1106"/>
      <c r="D36" s="1106"/>
      <c r="E36" s="1106"/>
      <c r="F36" s="1106"/>
      <c r="G36" s="1106"/>
      <c r="H36" s="1106"/>
      <c r="I36" s="1106"/>
    </row>
    <row r="37" spans="2:9">
      <c r="C37" s="1106"/>
      <c r="D37" s="1106"/>
      <c r="E37" s="1106"/>
      <c r="F37" s="1106"/>
      <c r="G37" s="1106"/>
      <c r="H37" s="1106"/>
      <c r="I37" s="1106"/>
    </row>
    <row r="38" spans="2:9">
      <c r="C38" s="1106"/>
      <c r="D38" s="1106"/>
      <c r="E38" s="1106"/>
      <c r="F38" s="1106"/>
      <c r="G38" s="1106"/>
      <c r="H38" s="1106"/>
      <c r="I38" s="1106"/>
    </row>
    <row r="39" spans="2:9">
      <c r="C39" s="1106" t="s">
        <v>61</v>
      </c>
      <c r="D39" s="1106"/>
      <c r="E39" s="1106"/>
      <c r="F39" s="1106"/>
      <c r="G39" s="1106"/>
      <c r="H39" s="1106"/>
      <c r="I39" s="1106"/>
    </row>
    <row r="40" spans="2:9">
      <c r="B40" s="1111" t="s">
        <v>62</v>
      </c>
      <c r="C40" s="1106"/>
      <c r="D40" s="1106"/>
      <c r="E40" s="1106"/>
      <c r="F40" s="1106"/>
      <c r="G40" s="1106"/>
      <c r="H40" s="1106"/>
      <c r="I40" s="1106"/>
    </row>
    <row r="41" spans="2:9">
      <c r="B41" s="1111"/>
      <c r="C41" s="1106"/>
      <c r="D41" s="1106"/>
      <c r="E41" s="1106"/>
      <c r="F41" s="1106"/>
      <c r="G41" s="1106"/>
      <c r="H41" s="1106"/>
      <c r="I41" s="1106"/>
    </row>
    <row r="42" spans="2:9">
      <c r="B42" s="1111"/>
      <c r="C42" s="1106"/>
      <c r="D42" s="1106"/>
      <c r="E42" s="1106"/>
      <c r="F42" s="1106"/>
      <c r="G42" s="1106"/>
      <c r="H42" s="1106"/>
      <c r="I42" s="1106"/>
    </row>
    <row r="43" spans="2:9">
      <c r="C43" s="1106"/>
      <c r="D43" s="1106"/>
      <c r="E43" s="1106"/>
      <c r="F43" s="1106"/>
      <c r="G43" s="1106"/>
      <c r="H43" s="1106"/>
      <c r="I43" s="1106"/>
    </row>
    <row r="44" spans="2:9">
      <c r="C44" s="1106"/>
      <c r="D44" s="1106"/>
      <c r="E44" s="1106"/>
      <c r="F44" s="1106"/>
      <c r="G44" s="1106"/>
      <c r="H44" s="1106"/>
      <c r="I44" s="1106"/>
    </row>
    <row r="45" spans="2:9">
      <c r="B45" s="3"/>
      <c r="C45" s="3"/>
      <c r="D45" s="3"/>
      <c r="E45" s="3"/>
      <c r="F45" s="3"/>
      <c r="G45" s="3"/>
      <c r="H45" s="3"/>
      <c r="I45" s="3"/>
    </row>
  </sheetData>
  <mergeCells count="44">
    <mergeCell ref="C44:I44"/>
    <mergeCell ref="B19:B21"/>
    <mergeCell ref="C18:I18"/>
    <mergeCell ref="B40:B42"/>
    <mergeCell ref="B34:B36"/>
    <mergeCell ref="C42:I42"/>
    <mergeCell ref="C19:I19"/>
    <mergeCell ref="C24:I24"/>
    <mergeCell ref="C22:I22"/>
    <mergeCell ref="C33:I33"/>
    <mergeCell ref="C21:I21"/>
    <mergeCell ref="C23:I23"/>
    <mergeCell ref="C32:I32"/>
    <mergeCell ref="C43:I43"/>
    <mergeCell ref="C40:I40"/>
    <mergeCell ref="C41:I41"/>
    <mergeCell ref="C39:I39"/>
    <mergeCell ref="C26:E26"/>
    <mergeCell ref="F26:I26"/>
    <mergeCell ref="C31:E31"/>
    <mergeCell ref="C30:E30"/>
    <mergeCell ref="F30:I30"/>
    <mergeCell ref="F31:I31"/>
    <mergeCell ref="C34:I34"/>
    <mergeCell ref="C35:I35"/>
    <mergeCell ref="C36:I36"/>
    <mergeCell ref="C37:I37"/>
    <mergeCell ref="C38:I38"/>
    <mergeCell ref="F25:I25"/>
    <mergeCell ref="C25:E25"/>
    <mergeCell ref="B2:G2"/>
    <mergeCell ref="C28:E28"/>
    <mergeCell ref="C29:E29"/>
    <mergeCell ref="F29:I29"/>
    <mergeCell ref="F28:I28"/>
    <mergeCell ref="F27:I27"/>
    <mergeCell ref="C27:E27"/>
    <mergeCell ref="C4:H4"/>
    <mergeCell ref="C7:I7"/>
    <mergeCell ref="C9:I9"/>
    <mergeCell ref="C16:I16"/>
    <mergeCell ref="C20:I20"/>
    <mergeCell ref="C17:I17"/>
    <mergeCell ref="B25:B30"/>
  </mergeCells>
  <conditionalFormatting sqref="C11">
    <cfRule type="expression" dxfId="18" priority="7">
      <formula>C11="Date"</formula>
    </cfRule>
  </conditionalFormatting>
  <conditionalFormatting sqref="C24:C26">
    <cfRule type="expression" dxfId="17" priority="3">
      <formula>C24="Please attach hyperlinks to used worksheets."</formula>
    </cfRule>
  </conditionalFormatting>
  <conditionalFormatting sqref="C7:I7">
    <cfRule type="expression" dxfId="16" priority="9">
      <formula>C7="Subject's title"</formula>
    </cfRule>
  </conditionalFormatting>
  <conditionalFormatting sqref="C9:I9">
    <cfRule type="expression" dxfId="15" priority="8">
      <formula>C9="Author's name"</formula>
    </cfRule>
  </conditionalFormatting>
  <conditionalFormatting sqref="C18:I18">
    <cfRule type="expression" dxfId="14" priority="4">
      <formula>C18="Please explain the purpose and the background to this report."</formula>
    </cfRule>
  </conditionalFormatting>
  <conditionalFormatting sqref="C33:I33">
    <cfRule type="expression" dxfId="13" priority="2">
      <formula>C33="Please write down any notes or assumptions made."</formula>
    </cfRule>
  </conditionalFormatting>
  <conditionalFormatting sqref="C39:I39">
    <cfRule type="expression" dxfId="12" priority="1">
      <formula>C39="Please state key risks and include financial impacts."</formula>
    </cfRule>
  </conditionalFormatting>
  <conditionalFormatting sqref="F11">
    <cfRule type="expression" dxfId="11" priority="6">
      <formula>F11="Year"</formula>
    </cfRule>
  </conditionalFormatting>
  <conditionalFormatting sqref="I11">
    <cfRule type="expression" dxfId="10" priority="5">
      <formula>I11="Version"</formula>
    </cfRule>
  </conditionalFormatting>
  <dataValidations disablePrompts="1" count="1">
    <dataValidation allowBlank="1" showErrorMessage="1" promptTitle="Name" prompt="Author" sqref="C9:I9" xr:uid="{00000000-0002-0000-0100-000000000000}"/>
  </dataValidations>
  <hyperlinks>
    <hyperlink ref="F27:I27" location="Workings!A1" display="Workings" xr:uid="{00000000-0004-0000-0100-000000000000}"/>
    <hyperlink ref="F29:I29" location="'Supporting Data'!A1" display="Supporting data" xr:uid="{00000000-0004-0000-0100-000001000000}"/>
    <hyperlink ref="F31:I31" location="Evidence!A1" display="Evidence" xr:uid="{00000000-0004-0000-0100-000002000000}"/>
    <hyperlink ref="F25:I25" location="'Executive Summary'!A1" display="Executive Summary" xr:uid="{00000000-0004-0000-0100-000003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BAE5E-72C7-4923-A5BA-B3064C7B7CE3}">
  <dimension ref="A1:X66"/>
  <sheetViews>
    <sheetView topLeftCell="A12" workbookViewId="0">
      <selection activeCell="G30" sqref="G30"/>
    </sheetView>
  </sheetViews>
  <sheetFormatPr defaultRowHeight="14"/>
  <cols>
    <col min="11" max="11" width="8.33203125" bestFit="1" customWidth="1"/>
  </cols>
  <sheetData>
    <row r="1" spans="1:24" ht="23">
      <c r="A1" s="924" t="s">
        <v>1034</v>
      </c>
      <c r="B1" s="925"/>
      <c r="C1" s="925"/>
      <c r="D1" s="925"/>
      <c r="E1" s="925"/>
      <c r="F1" s="925"/>
      <c r="G1" s="925"/>
      <c r="H1" s="925"/>
      <c r="I1" s="925"/>
      <c r="J1" s="925"/>
      <c r="K1" s="925"/>
      <c r="L1" s="925"/>
      <c r="M1" s="925"/>
      <c r="N1" s="925"/>
      <c r="O1" s="925"/>
      <c r="P1" s="925"/>
      <c r="Q1" s="925"/>
      <c r="R1" s="925"/>
      <c r="S1" s="926" t="s">
        <v>1035</v>
      </c>
      <c r="T1" s="927"/>
      <c r="U1" s="1155"/>
      <c r="V1" s="1156"/>
      <c r="W1" s="928"/>
      <c r="X1" s="928"/>
    </row>
    <row r="2" spans="1:24" ht="24.5">
      <c r="A2" s="929" t="s">
        <v>1036</v>
      </c>
      <c r="B2" s="930"/>
      <c r="C2" s="930"/>
      <c r="D2" s="930"/>
      <c r="E2" s="930"/>
      <c r="F2" s="930"/>
      <c r="G2" s="930"/>
      <c r="H2" s="930"/>
      <c r="I2" s="930"/>
      <c r="J2" s="930"/>
      <c r="K2" s="930"/>
      <c r="L2" s="930"/>
      <c r="M2" s="930"/>
      <c r="N2" s="930"/>
      <c r="O2" s="930"/>
      <c r="P2" s="930"/>
      <c r="Q2" s="930"/>
      <c r="R2" s="930"/>
      <c r="S2" s="930"/>
      <c r="T2" s="931"/>
      <c r="U2" s="1157"/>
      <c r="V2" s="1158"/>
      <c r="W2" s="932"/>
      <c r="X2" s="932"/>
    </row>
    <row r="3" spans="1:24" ht="18">
      <c r="A3" s="933" t="s">
        <v>983</v>
      </c>
      <c r="B3" s="934"/>
      <c r="C3" s="934"/>
      <c r="D3" s="934"/>
      <c r="E3" s="934"/>
      <c r="F3" s="934"/>
      <c r="G3" s="934"/>
      <c r="H3" s="934"/>
      <c r="I3" s="934"/>
      <c r="J3" s="934"/>
      <c r="K3" s="934"/>
      <c r="L3" s="934"/>
      <c r="M3" s="934"/>
      <c r="N3" s="934"/>
      <c r="O3" s="934"/>
      <c r="P3" s="934"/>
      <c r="Q3" s="934"/>
      <c r="R3" s="934"/>
      <c r="S3" s="934"/>
      <c r="T3" s="934"/>
      <c r="U3" s="1158"/>
      <c r="V3" s="1158"/>
      <c r="W3" s="932"/>
      <c r="X3" s="932"/>
    </row>
    <row r="4" spans="1:24" ht="15.5">
      <c r="A4" s="935" t="s">
        <v>1037</v>
      </c>
      <c r="B4" s="935"/>
      <c r="C4" s="935"/>
      <c r="D4" s="935"/>
      <c r="E4" s="935"/>
      <c r="F4" s="935"/>
      <c r="G4" s="936"/>
      <c r="H4" s="935"/>
      <c r="I4" s="935"/>
      <c r="J4" s="935"/>
      <c r="K4" s="935"/>
      <c r="L4" s="935"/>
      <c r="M4" s="935"/>
      <c r="N4" s="935"/>
      <c r="O4" s="935"/>
      <c r="P4" s="935"/>
      <c r="Q4" s="935"/>
      <c r="R4" s="935"/>
      <c r="S4" s="935"/>
      <c r="T4" s="935"/>
      <c r="U4" s="1149"/>
      <c r="V4" s="1149"/>
      <c r="W4" s="928"/>
      <c r="X4" s="928"/>
    </row>
    <row r="5" spans="1:24" ht="18">
      <c r="A5" s="936" t="s">
        <v>1038</v>
      </c>
      <c r="B5" s="934"/>
      <c r="C5" s="934"/>
      <c r="D5" s="934"/>
      <c r="E5" s="934"/>
      <c r="F5" s="934"/>
      <c r="G5" s="934"/>
      <c r="H5" s="934"/>
      <c r="I5" s="934"/>
      <c r="J5" s="934"/>
      <c r="K5" s="934"/>
      <c r="L5" s="934"/>
      <c r="M5" s="934"/>
      <c r="N5" s="934"/>
      <c r="O5" s="934"/>
      <c r="P5" s="934"/>
      <c r="Q5" s="934"/>
      <c r="R5" s="934"/>
      <c r="S5" s="934"/>
      <c r="T5" s="934"/>
      <c r="U5" s="1158"/>
      <c r="V5" s="1158"/>
      <c r="W5" s="932"/>
      <c r="X5" s="932"/>
    </row>
    <row r="6" spans="1:24" ht="18.5" thickBot="1">
      <c r="A6" s="935" t="s">
        <v>986</v>
      </c>
      <c r="B6" s="937"/>
      <c r="C6" s="937"/>
      <c r="D6" s="937"/>
      <c r="E6" s="937"/>
      <c r="F6" s="937"/>
      <c r="G6" s="937"/>
      <c r="H6" s="937"/>
      <c r="I6" s="937"/>
      <c r="J6" s="937"/>
      <c r="K6" s="937"/>
      <c r="L6" s="937"/>
      <c r="M6" s="937"/>
      <c r="N6" s="937"/>
      <c r="O6" s="937"/>
      <c r="P6" s="937"/>
      <c r="Q6" s="937"/>
      <c r="R6" s="937"/>
      <c r="S6" s="937"/>
      <c r="T6" s="937"/>
      <c r="U6" s="932"/>
      <c r="V6" s="938" t="s">
        <v>994</v>
      </c>
      <c r="W6" s="938">
        <v>1</v>
      </c>
      <c r="X6" s="938">
        <v>2</v>
      </c>
    </row>
    <row r="7" spans="1:24" ht="15.5">
      <c r="A7" s="939"/>
      <c r="B7" s="1159" t="s">
        <v>990</v>
      </c>
      <c r="C7" s="1159"/>
      <c r="D7" s="939"/>
      <c r="E7" s="940" t="s">
        <v>1039</v>
      </c>
      <c r="F7" s="939"/>
      <c r="G7" s="939"/>
      <c r="H7" s="939"/>
      <c r="I7" s="939"/>
      <c r="J7" s="939"/>
      <c r="K7" s="939"/>
      <c r="L7" s="939"/>
      <c r="M7" s="939"/>
      <c r="N7" s="941" t="s">
        <v>1040</v>
      </c>
      <c r="O7" s="942"/>
      <c r="P7" s="942"/>
      <c r="Q7" s="943"/>
      <c r="R7" s="943"/>
      <c r="S7" s="943"/>
      <c r="T7" s="944"/>
      <c r="U7" s="945"/>
      <c r="V7" s="945">
        <v>0</v>
      </c>
      <c r="W7" s="945">
        <v>0</v>
      </c>
      <c r="X7" s="945">
        <v>0</v>
      </c>
    </row>
    <row r="8" spans="1:24" ht="15.5">
      <c r="A8" s="945"/>
      <c r="B8" s="945" t="s">
        <v>994</v>
      </c>
      <c r="C8" s="945">
        <v>6396</v>
      </c>
      <c r="D8" s="945"/>
      <c r="E8" s="946" t="s">
        <v>995</v>
      </c>
      <c r="F8" s="945"/>
      <c r="G8" s="945"/>
      <c r="H8" s="945"/>
      <c r="I8" s="945"/>
      <c r="J8" s="945"/>
      <c r="K8" s="945"/>
      <c r="L8" s="945"/>
      <c r="M8" s="945"/>
      <c r="N8" s="945"/>
      <c r="O8" s="945"/>
      <c r="P8" s="945"/>
      <c r="Q8" s="945"/>
      <c r="R8" s="945"/>
      <c r="S8" s="945"/>
      <c r="T8" s="945"/>
      <c r="U8" s="945"/>
      <c r="V8" s="947">
        <v>6396</v>
      </c>
      <c r="W8" s="945">
        <v>0</v>
      </c>
      <c r="X8" s="945">
        <v>0</v>
      </c>
    </row>
    <row r="9" spans="1:24" ht="15.5">
      <c r="A9" s="945"/>
      <c r="B9" s="945">
        <v>6396</v>
      </c>
      <c r="C9" s="945">
        <v>9100</v>
      </c>
      <c r="D9" s="945"/>
      <c r="E9" s="945">
        <v>6396</v>
      </c>
      <c r="F9" s="948" t="s">
        <v>997</v>
      </c>
      <c r="G9" s="945">
        <v>0</v>
      </c>
      <c r="H9" s="948" t="s">
        <v>998</v>
      </c>
      <c r="I9" s="945" t="s">
        <v>985</v>
      </c>
      <c r="J9" s="945"/>
      <c r="K9" s="945"/>
      <c r="L9" s="945"/>
      <c r="M9" s="945"/>
      <c r="N9" s="945"/>
      <c r="O9" s="945"/>
      <c r="P9" s="945"/>
      <c r="Q9" s="948" t="s">
        <v>1041</v>
      </c>
      <c r="R9" s="945"/>
      <c r="S9" s="945">
        <v>0</v>
      </c>
      <c r="T9" s="948" t="s">
        <v>998</v>
      </c>
      <c r="U9" s="945"/>
      <c r="V9" s="947">
        <v>9100</v>
      </c>
      <c r="W9" s="945">
        <v>0</v>
      </c>
      <c r="X9" s="945">
        <v>0.13800000000000001</v>
      </c>
    </row>
    <row r="10" spans="1:24" ht="15.5">
      <c r="A10" s="945"/>
      <c r="B10" s="945">
        <v>9100</v>
      </c>
      <c r="C10" s="945">
        <v>50270</v>
      </c>
      <c r="D10" s="945"/>
      <c r="E10" s="945">
        <v>6396</v>
      </c>
      <c r="F10" s="948" t="s">
        <v>997</v>
      </c>
      <c r="G10" s="945">
        <v>0</v>
      </c>
      <c r="H10" s="948" t="s">
        <v>998</v>
      </c>
      <c r="I10" s="945">
        <v>2704</v>
      </c>
      <c r="J10" s="945" t="s">
        <v>997</v>
      </c>
      <c r="K10" s="945">
        <v>0</v>
      </c>
      <c r="L10" s="945" t="s">
        <v>998</v>
      </c>
      <c r="M10" s="945"/>
      <c r="N10" s="945"/>
      <c r="O10" s="945"/>
      <c r="P10" s="945"/>
      <c r="Q10" s="948" t="s">
        <v>1041</v>
      </c>
      <c r="R10" s="945"/>
      <c r="S10" s="945">
        <v>13.8</v>
      </c>
      <c r="T10" s="948" t="s">
        <v>998</v>
      </c>
      <c r="U10" s="945"/>
      <c r="V10" s="947">
        <v>50270</v>
      </c>
      <c r="W10" s="945">
        <v>0</v>
      </c>
      <c r="X10" s="945">
        <v>0.13800000000000001</v>
      </c>
    </row>
    <row r="11" spans="1:24" ht="16" thickBot="1">
      <c r="A11" s="949"/>
      <c r="B11" s="945">
        <v>50270</v>
      </c>
      <c r="C11" s="949" t="s">
        <v>996</v>
      </c>
      <c r="D11" s="949"/>
      <c r="E11" s="949">
        <v>6396</v>
      </c>
      <c r="F11" s="950" t="s">
        <v>997</v>
      </c>
      <c r="G11" s="949">
        <v>0</v>
      </c>
      <c r="H11" s="950" t="s">
        <v>998</v>
      </c>
      <c r="I11" s="945">
        <v>2704</v>
      </c>
      <c r="J11" s="949" t="s">
        <v>997</v>
      </c>
      <c r="K11" s="949">
        <v>0</v>
      </c>
      <c r="L11" s="949" t="s">
        <v>998</v>
      </c>
      <c r="M11" s="949">
        <v>41170</v>
      </c>
      <c r="N11" s="949" t="s">
        <v>997</v>
      </c>
      <c r="O11" s="949">
        <v>13.8</v>
      </c>
      <c r="P11" s="949" t="s">
        <v>998</v>
      </c>
      <c r="Q11" s="950" t="s">
        <v>1041</v>
      </c>
      <c r="R11" s="949"/>
      <c r="S11" s="949">
        <v>13.8</v>
      </c>
      <c r="T11" s="950" t="s">
        <v>998</v>
      </c>
      <c r="U11" s="1150"/>
      <c r="V11" s="1150"/>
      <c r="W11" s="945"/>
      <c r="X11" s="945"/>
    </row>
    <row r="12" spans="1:24" ht="16" thickBot="1">
      <c r="A12" s="951"/>
      <c r="B12" s="952"/>
      <c r="C12" s="952"/>
      <c r="D12" s="952"/>
      <c r="E12" s="952"/>
      <c r="F12" s="952"/>
      <c r="G12" s="952"/>
      <c r="H12" s="952"/>
      <c r="I12" s="952"/>
      <c r="J12" s="952"/>
      <c r="K12" s="952"/>
      <c r="L12" s="952"/>
      <c r="M12" s="952"/>
      <c r="N12" s="952"/>
      <c r="O12" s="952"/>
      <c r="P12" s="952"/>
      <c r="Q12" s="952"/>
      <c r="R12" s="952"/>
      <c r="S12" s="952"/>
      <c r="T12" s="952"/>
      <c r="U12" s="945"/>
      <c r="V12" s="946" t="s">
        <v>1005</v>
      </c>
      <c r="W12" s="945">
        <v>0.24099999999999999</v>
      </c>
      <c r="X12" s="945"/>
    </row>
    <row r="13" spans="1:24" ht="16" thickTop="1">
      <c r="A13" s="953"/>
      <c r="B13" s="954"/>
      <c r="C13" s="954"/>
      <c r="D13" s="955"/>
      <c r="E13" s="1151" t="s">
        <v>1003</v>
      </c>
      <c r="F13" s="1151"/>
      <c r="G13" s="1151"/>
      <c r="H13" s="1151"/>
      <c r="I13" s="1151"/>
      <c r="J13" s="1151"/>
      <c r="K13" s="1151"/>
      <c r="L13" s="955"/>
      <c r="M13" s="1152" t="s">
        <v>1004</v>
      </c>
      <c r="N13" s="1151"/>
      <c r="O13" s="1151"/>
      <c r="P13" s="1151"/>
      <c r="Q13" s="1151"/>
      <c r="R13" s="1151"/>
      <c r="S13" s="1151"/>
      <c r="T13" s="956"/>
      <c r="U13" s="1148"/>
      <c r="V13" s="1149"/>
      <c r="W13" s="928"/>
      <c r="X13" s="928"/>
    </row>
    <row r="14" spans="1:24" ht="15.5">
      <c r="A14" s="1153" t="s">
        <v>1042</v>
      </c>
      <c r="B14" s="1154"/>
      <c r="C14" s="959" t="s">
        <v>1007</v>
      </c>
      <c r="D14" s="959"/>
      <c r="E14" s="960" t="s">
        <v>1008</v>
      </c>
      <c r="F14" s="959"/>
      <c r="G14" s="960" t="s">
        <v>1009</v>
      </c>
      <c r="H14" s="959"/>
      <c r="I14" s="960" t="s">
        <v>1005</v>
      </c>
      <c r="J14" s="959"/>
      <c r="K14" s="960" t="s">
        <v>1010</v>
      </c>
      <c r="L14" s="958"/>
      <c r="M14" s="961" t="s">
        <v>1008</v>
      </c>
      <c r="N14" s="959"/>
      <c r="O14" s="959"/>
      <c r="P14" s="959"/>
      <c r="Q14" s="960" t="s">
        <v>1009</v>
      </c>
      <c r="R14" s="959"/>
      <c r="S14" s="960" t="s">
        <v>1010</v>
      </c>
      <c r="T14" s="962"/>
      <c r="U14" s="1148"/>
      <c r="V14" s="1149"/>
      <c r="W14" s="928"/>
      <c r="X14" s="928"/>
    </row>
    <row r="15" spans="1:24" ht="16" thickBot="1">
      <c r="A15" s="963"/>
      <c r="B15" s="964"/>
      <c r="C15" s="964"/>
      <c r="D15" s="964"/>
      <c r="E15" s="964"/>
      <c r="F15" s="964"/>
      <c r="G15" s="964"/>
      <c r="H15" s="964"/>
      <c r="I15" s="964"/>
      <c r="J15" s="964"/>
      <c r="K15" s="964"/>
      <c r="L15" s="964"/>
      <c r="M15" s="965"/>
      <c r="N15" s="964"/>
      <c r="O15" s="964"/>
      <c r="P15" s="964"/>
      <c r="Q15" s="964"/>
      <c r="R15" s="964"/>
      <c r="S15" s="964"/>
      <c r="T15" s="966"/>
      <c r="U15" s="1148"/>
      <c r="V15" s="1149"/>
      <c r="W15" s="928"/>
      <c r="X15" s="928"/>
    </row>
    <row r="16" spans="1:24" ht="15.5">
      <c r="A16" s="957"/>
      <c r="B16" s="928"/>
      <c r="C16" s="967"/>
      <c r="D16" s="928"/>
      <c r="E16" s="928"/>
      <c r="F16" s="928"/>
      <c r="G16" s="928"/>
      <c r="H16" s="928"/>
      <c r="I16" s="928"/>
      <c r="J16" s="928"/>
      <c r="K16" s="928"/>
      <c r="L16" s="928"/>
      <c r="M16" s="968"/>
      <c r="N16" s="928"/>
      <c r="O16" s="928"/>
      <c r="P16" s="928"/>
      <c r="Q16" s="928"/>
      <c r="R16" s="928"/>
      <c r="S16" s="928"/>
      <c r="T16" s="969"/>
      <c r="U16" s="1148"/>
      <c r="V16" s="1149"/>
      <c r="W16" s="928"/>
      <c r="X16" s="928"/>
    </row>
    <row r="17" spans="1:24" ht="15.5">
      <c r="A17" s="970" t="s">
        <v>1043</v>
      </c>
      <c r="B17" s="928"/>
      <c r="C17" s="967" t="s">
        <v>1044</v>
      </c>
      <c r="D17" s="971"/>
      <c r="E17" s="972">
        <v>20435</v>
      </c>
      <c r="F17" s="928"/>
      <c r="G17" s="973">
        <v>1564</v>
      </c>
      <c r="H17" s="928"/>
      <c r="I17" s="973">
        <v>4925</v>
      </c>
      <c r="J17" s="928"/>
      <c r="K17" s="973">
        <v>26924</v>
      </c>
      <c r="L17" s="928"/>
      <c r="M17" s="974">
        <v>20435</v>
      </c>
      <c r="N17" s="928"/>
      <c r="O17" s="928"/>
      <c r="P17" s="928"/>
      <c r="Q17" s="973">
        <v>1564</v>
      </c>
      <c r="R17" s="928"/>
      <c r="S17" s="973">
        <v>21999</v>
      </c>
      <c r="T17" s="969"/>
      <c r="U17" s="1148"/>
      <c r="V17" s="1149"/>
      <c r="W17" s="928"/>
      <c r="X17" s="928"/>
    </row>
    <row r="18" spans="1:24" ht="15.5">
      <c r="A18" s="970" t="s">
        <v>1043</v>
      </c>
      <c r="B18" s="967"/>
      <c r="C18" s="967" t="s">
        <v>1045</v>
      </c>
      <c r="D18" s="971"/>
      <c r="E18" s="972">
        <v>22183</v>
      </c>
      <c r="F18" s="928"/>
      <c r="G18" s="973">
        <v>1805</v>
      </c>
      <c r="H18" s="928"/>
      <c r="I18" s="973">
        <v>5346</v>
      </c>
      <c r="J18" s="928"/>
      <c r="K18" s="973">
        <v>29334</v>
      </c>
      <c r="L18" s="928"/>
      <c r="M18" s="974">
        <v>22183</v>
      </c>
      <c r="N18" s="928"/>
      <c r="O18" s="928"/>
      <c r="P18" s="928"/>
      <c r="Q18" s="973">
        <v>1805</v>
      </c>
      <c r="R18" s="928"/>
      <c r="S18" s="973">
        <v>23988</v>
      </c>
      <c r="T18" s="969"/>
      <c r="U18" s="1148"/>
      <c r="V18" s="1149"/>
      <c r="W18" s="928"/>
      <c r="X18" s="928"/>
    </row>
    <row r="19" spans="1:24" ht="15.5">
      <c r="A19" s="970" t="s">
        <v>1043</v>
      </c>
      <c r="B19" s="967" t="s">
        <v>1046</v>
      </c>
      <c r="C19" s="967" t="s">
        <v>1047</v>
      </c>
      <c r="D19" s="971"/>
      <c r="E19" s="972">
        <v>22366</v>
      </c>
      <c r="F19" s="928"/>
      <c r="G19" s="973">
        <v>1831</v>
      </c>
      <c r="H19" s="928"/>
      <c r="I19" s="973">
        <v>5390</v>
      </c>
      <c r="J19" s="928"/>
      <c r="K19" s="973">
        <v>29587</v>
      </c>
      <c r="L19" s="928"/>
      <c r="M19" s="974">
        <v>22366</v>
      </c>
      <c r="N19" s="928"/>
      <c r="O19" s="928"/>
      <c r="P19" s="928"/>
      <c r="Q19" s="973">
        <v>1831</v>
      </c>
      <c r="R19" s="928"/>
      <c r="S19" s="973">
        <v>24197</v>
      </c>
      <c r="T19" s="969"/>
      <c r="U19" s="1148"/>
      <c r="V19" s="1149"/>
      <c r="W19" s="928"/>
      <c r="X19" s="928"/>
    </row>
    <row r="20" spans="1:24" ht="15.5">
      <c r="A20" s="957"/>
      <c r="B20" s="967" t="s">
        <v>1046</v>
      </c>
      <c r="C20" s="967" t="s">
        <v>1048</v>
      </c>
      <c r="D20" s="928"/>
      <c r="E20" s="973">
        <v>22509</v>
      </c>
      <c r="F20" s="928"/>
      <c r="G20" s="973">
        <v>1850</v>
      </c>
      <c r="H20" s="928"/>
      <c r="I20" s="973">
        <v>5425</v>
      </c>
      <c r="J20" s="928"/>
      <c r="K20" s="973">
        <v>29784</v>
      </c>
      <c r="L20" s="928"/>
      <c r="M20" s="974">
        <v>22509</v>
      </c>
      <c r="N20" s="928"/>
      <c r="O20" s="928"/>
      <c r="P20" s="928"/>
      <c r="Q20" s="973">
        <v>1850</v>
      </c>
      <c r="R20" s="928"/>
      <c r="S20" s="973">
        <v>24359</v>
      </c>
      <c r="T20" s="969"/>
      <c r="U20" s="1148"/>
      <c r="V20" s="1149"/>
      <c r="W20" s="928"/>
      <c r="X20" s="928"/>
    </row>
    <row r="21" spans="1:24" ht="15.5">
      <c r="A21" s="957"/>
      <c r="B21" s="967" t="s">
        <v>1046</v>
      </c>
      <c r="C21" s="967" t="s">
        <v>1049</v>
      </c>
      <c r="D21" s="928"/>
      <c r="E21" s="973">
        <v>22603</v>
      </c>
      <c r="F21" s="928"/>
      <c r="G21" s="973">
        <v>1863</v>
      </c>
      <c r="H21" s="928"/>
      <c r="I21" s="973">
        <v>5447</v>
      </c>
      <c r="J21" s="928"/>
      <c r="K21" s="973">
        <v>29913</v>
      </c>
      <c r="L21" s="928"/>
      <c r="M21" s="974">
        <v>22603</v>
      </c>
      <c r="N21" s="928"/>
      <c r="O21" s="928"/>
      <c r="P21" s="928"/>
      <c r="Q21" s="973">
        <v>1863</v>
      </c>
      <c r="R21" s="928"/>
      <c r="S21" s="973">
        <v>24466</v>
      </c>
      <c r="T21" s="969"/>
      <c r="U21" s="1148"/>
      <c r="V21" s="1149"/>
      <c r="W21" s="928"/>
      <c r="X21" s="928"/>
    </row>
    <row r="22" spans="1:24" ht="15.5">
      <c r="A22" s="957" t="s">
        <v>1050</v>
      </c>
      <c r="B22" s="967" t="s">
        <v>1046</v>
      </c>
      <c r="C22" s="967" t="s">
        <v>1051</v>
      </c>
      <c r="D22" s="971"/>
      <c r="E22" s="972">
        <v>22737</v>
      </c>
      <c r="F22" s="928"/>
      <c r="G22" s="973">
        <v>1882</v>
      </c>
      <c r="H22" s="928"/>
      <c r="I22" s="973">
        <v>5480</v>
      </c>
      <c r="J22" s="928"/>
      <c r="K22" s="973">
        <v>30099</v>
      </c>
      <c r="L22" s="928"/>
      <c r="M22" s="974">
        <v>22737</v>
      </c>
      <c r="N22" s="928"/>
      <c r="O22" s="928"/>
      <c r="P22" s="928"/>
      <c r="Q22" s="973">
        <v>1882</v>
      </c>
      <c r="R22" s="928"/>
      <c r="S22" s="973">
        <v>24619</v>
      </c>
      <c r="T22" s="969"/>
      <c r="U22" s="1148"/>
      <c r="V22" s="1149"/>
      <c r="W22" s="928"/>
      <c r="X22" s="928"/>
    </row>
    <row r="23" spans="1:24" ht="15.5">
      <c r="A23" s="957" t="s">
        <v>1050</v>
      </c>
      <c r="B23" s="967"/>
      <c r="C23" s="967" t="s">
        <v>1052</v>
      </c>
      <c r="D23" s="928"/>
      <c r="E23" s="973">
        <v>23107</v>
      </c>
      <c r="F23" s="928"/>
      <c r="G23" s="973">
        <v>1933</v>
      </c>
      <c r="H23" s="928"/>
      <c r="I23" s="973">
        <v>5569</v>
      </c>
      <c r="J23" s="928"/>
      <c r="K23" s="973">
        <v>30609</v>
      </c>
      <c r="L23" s="928"/>
      <c r="M23" s="974">
        <v>23107</v>
      </c>
      <c r="N23" s="928"/>
      <c r="O23" s="928"/>
      <c r="P23" s="928"/>
      <c r="Q23" s="973">
        <v>1933</v>
      </c>
      <c r="R23" s="928"/>
      <c r="S23" s="973">
        <v>25040</v>
      </c>
      <c r="T23" s="969"/>
      <c r="U23" s="1148"/>
      <c r="V23" s="1149"/>
      <c r="W23" s="928"/>
      <c r="X23" s="928"/>
    </row>
    <row r="24" spans="1:24" ht="15.5">
      <c r="A24" s="957" t="s">
        <v>1050</v>
      </c>
      <c r="B24" s="967"/>
      <c r="C24" s="967" t="s">
        <v>1053</v>
      </c>
      <c r="D24" s="928"/>
      <c r="E24" s="973">
        <v>23521</v>
      </c>
      <c r="F24" s="928"/>
      <c r="G24" s="973">
        <v>1990</v>
      </c>
      <c r="H24" s="928"/>
      <c r="I24" s="973">
        <v>5669</v>
      </c>
      <c r="J24" s="928"/>
      <c r="K24" s="973">
        <v>31180</v>
      </c>
      <c r="L24" s="928"/>
      <c r="M24" s="974">
        <v>23521</v>
      </c>
      <c r="N24" s="928"/>
      <c r="O24" s="928"/>
      <c r="P24" s="928"/>
      <c r="Q24" s="973">
        <v>1990</v>
      </c>
      <c r="R24" s="928"/>
      <c r="S24" s="973">
        <v>25511</v>
      </c>
      <c r="T24" s="969"/>
      <c r="U24" s="1148"/>
      <c r="V24" s="1149"/>
      <c r="W24" s="928"/>
      <c r="X24" s="928"/>
    </row>
    <row r="25" spans="1:24" ht="15.5">
      <c r="A25" s="957" t="s">
        <v>1050</v>
      </c>
      <c r="B25" s="967" t="s">
        <v>1054</v>
      </c>
      <c r="C25" s="967" t="s">
        <v>1055</v>
      </c>
      <c r="D25" s="971"/>
      <c r="E25" s="972">
        <v>23893</v>
      </c>
      <c r="F25" s="928"/>
      <c r="G25" s="973">
        <v>2041</v>
      </c>
      <c r="H25" s="928"/>
      <c r="I25" s="973">
        <v>5758</v>
      </c>
      <c r="J25" s="928"/>
      <c r="K25" s="973">
        <v>31692</v>
      </c>
      <c r="L25" s="928"/>
      <c r="M25" s="974">
        <v>23893</v>
      </c>
      <c r="N25" s="928"/>
      <c r="O25" s="928"/>
      <c r="P25" s="928"/>
      <c r="Q25" s="973">
        <v>2041</v>
      </c>
      <c r="R25" s="928"/>
      <c r="S25" s="973">
        <v>25934</v>
      </c>
      <c r="T25" s="969"/>
      <c r="U25" s="1148"/>
      <c r="V25" s="1149"/>
      <c r="W25" s="928"/>
      <c r="X25" s="928"/>
    </row>
    <row r="26" spans="1:24" ht="15.5">
      <c r="A26" s="957"/>
      <c r="B26" s="967" t="s">
        <v>1054</v>
      </c>
      <c r="C26" s="967" t="s">
        <v>1056</v>
      </c>
      <c r="D26" s="928"/>
      <c r="E26" s="973">
        <v>23931</v>
      </c>
      <c r="F26" s="928"/>
      <c r="G26" s="973">
        <v>2047</v>
      </c>
      <c r="H26" s="928"/>
      <c r="I26" s="973">
        <v>5767</v>
      </c>
      <c r="J26" s="928"/>
      <c r="K26" s="973">
        <v>31745</v>
      </c>
      <c r="L26" s="928"/>
      <c r="M26" s="974">
        <v>23931</v>
      </c>
      <c r="N26" s="928"/>
      <c r="O26" s="928"/>
      <c r="P26" s="928"/>
      <c r="Q26" s="973">
        <v>2047</v>
      </c>
      <c r="R26" s="928"/>
      <c r="S26" s="973">
        <v>25978</v>
      </c>
      <c r="T26" s="969"/>
      <c r="U26" s="1148"/>
      <c r="V26" s="1149"/>
      <c r="W26" s="928"/>
      <c r="X26" s="928"/>
    </row>
    <row r="27" spans="1:24" ht="15.5">
      <c r="A27" s="957"/>
      <c r="B27" s="967" t="s">
        <v>1054</v>
      </c>
      <c r="C27" s="967" t="s">
        <v>1057</v>
      </c>
      <c r="D27" s="928"/>
      <c r="E27" s="973">
        <v>24619</v>
      </c>
      <c r="F27" s="928"/>
      <c r="G27" s="973">
        <v>2142</v>
      </c>
      <c r="H27" s="928"/>
      <c r="I27" s="973">
        <v>5933</v>
      </c>
      <c r="J27" s="928"/>
      <c r="K27" s="973">
        <v>32694</v>
      </c>
      <c r="L27" s="928"/>
      <c r="M27" s="974">
        <v>24619</v>
      </c>
      <c r="N27" s="928"/>
      <c r="O27" s="928"/>
      <c r="P27" s="928"/>
      <c r="Q27" s="973">
        <v>2142</v>
      </c>
      <c r="R27" s="928"/>
      <c r="S27" s="973">
        <v>26761</v>
      </c>
      <c r="T27" s="969"/>
      <c r="U27" s="1148"/>
      <c r="V27" s="1149"/>
      <c r="W27" s="928"/>
      <c r="X27" s="928"/>
    </row>
    <row r="28" spans="1:24" ht="15.5">
      <c r="A28" s="957" t="s">
        <v>1058</v>
      </c>
      <c r="B28" s="967" t="s">
        <v>1054</v>
      </c>
      <c r="C28" s="967" t="s">
        <v>1059</v>
      </c>
      <c r="D28" s="971"/>
      <c r="E28" s="972">
        <v>25119</v>
      </c>
      <c r="F28" s="928"/>
      <c r="G28" s="973">
        <v>2211</v>
      </c>
      <c r="H28" s="928"/>
      <c r="I28" s="973">
        <v>6054</v>
      </c>
      <c r="J28" s="928"/>
      <c r="K28" s="973">
        <v>33384</v>
      </c>
      <c r="L28" s="928"/>
      <c r="M28" s="974">
        <v>25119</v>
      </c>
      <c r="N28" s="928"/>
      <c r="O28" s="928"/>
      <c r="P28" s="928"/>
      <c r="Q28" s="973">
        <v>2211</v>
      </c>
      <c r="R28" s="928"/>
      <c r="S28" s="973">
        <v>27330</v>
      </c>
      <c r="T28" s="969"/>
      <c r="U28" s="1148"/>
      <c r="V28" s="1149"/>
      <c r="W28" s="928"/>
      <c r="X28" s="928"/>
    </row>
    <row r="29" spans="1:24" ht="15.5">
      <c r="A29" s="957" t="s">
        <v>1058</v>
      </c>
      <c r="B29" s="967"/>
      <c r="C29" s="967" t="s">
        <v>1060</v>
      </c>
      <c r="D29" s="928"/>
      <c r="E29" s="973">
        <v>25961</v>
      </c>
      <c r="F29" s="928"/>
      <c r="G29" s="973">
        <v>2327</v>
      </c>
      <c r="H29" s="928"/>
      <c r="I29" s="973">
        <v>6257</v>
      </c>
      <c r="J29" s="928"/>
      <c r="K29" s="973">
        <v>34545</v>
      </c>
      <c r="L29" s="928"/>
      <c r="M29" s="974">
        <v>25961</v>
      </c>
      <c r="N29" s="928"/>
      <c r="O29" s="928"/>
      <c r="P29" s="928"/>
      <c r="Q29" s="973">
        <v>2327</v>
      </c>
      <c r="R29" s="928"/>
      <c r="S29" s="973">
        <v>28288</v>
      </c>
      <c r="T29" s="969"/>
      <c r="U29" s="1148"/>
      <c r="V29" s="1149"/>
      <c r="W29" s="928"/>
      <c r="X29" s="928"/>
    </row>
    <row r="30" spans="1:24" ht="15.5">
      <c r="A30" s="957" t="s">
        <v>1058</v>
      </c>
      <c r="B30" s="967"/>
      <c r="C30" s="967" t="s">
        <v>1061</v>
      </c>
      <c r="D30" s="928"/>
      <c r="E30" s="973">
        <v>26884</v>
      </c>
      <c r="F30" s="928"/>
      <c r="G30" s="973">
        <v>2454</v>
      </c>
      <c r="H30" s="928"/>
      <c r="I30" s="973">
        <v>6479</v>
      </c>
      <c r="J30" s="928"/>
      <c r="K30" s="973">
        <v>35817</v>
      </c>
      <c r="L30" s="928"/>
      <c r="M30" s="974">
        <v>26884</v>
      </c>
      <c r="N30" s="928"/>
      <c r="O30" s="928"/>
      <c r="P30" s="928"/>
      <c r="Q30" s="973">
        <v>2454</v>
      </c>
      <c r="R30" s="928"/>
      <c r="S30" s="973">
        <v>29338</v>
      </c>
      <c r="T30" s="969"/>
      <c r="U30" s="1148"/>
      <c r="V30" s="1149"/>
      <c r="W30" s="928"/>
      <c r="X30" s="928"/>
    </row>
    <row r="31" spans="1:24" ht="15.5">
      <c r="A31" s="957" t="s">
        <v>1058</v>
      </c>
      <c r="B31" s="967" t="s">
        <v>109</v>
      </c>
      <c r="C31" s="967" t="s">
        <v>1062</v>
      </c>
      <c r="D31" s="971"/>
      <c r="E31" s="972">
        <v>27803</v>
      </c>
      <c r="F31" s="928"/>
      <c r="G31" s="973">
        <v>2581</v>
      </c>
      <c r="H31" s="928"/>
      <c r="I31" s="973">
        <v>6701</v>
      </c>
      <c r="J31" s="928"/>
      <c r="K31" s="973">
        <v>37085</v>
      </c>
      <c r="L31" s="928"/>
      <c r="M31" s="974">
        <v>27803</v>
      </c>
      <c r="N31" s="928"/>
      <c r="O31" s="928"/>
      <c r="P31" s="928"/>
      <c r="Q31" s="973">
        <v>2581</v>
      </c>
      <c r="R31" s="928"/>
      <c r="S31" s="973">
        <v>30384</v>
      </c>
      <c r="T31" s="969"/>
      <c r="U31" s="1148"/>
      <c r="V31" s="1149"/>
      <c r="W31" s="928"/>
      <c r="X31" s="928"/>
    </row>
    <row r="32" spans="1:24" ht="15.5">
      <c r="A32" s="957"/>
      <c r="B32" s="967" t="s">
        <v>109</v>
      </c>
      <c r="C32" s="967" t="s">
        <v>1063</v>
      </c>
      <c r="D32" s="928"/>
      <c r="E32" s="973">
        <v>28609</v>
      </c>
      <c r="F32" s="928"/>
      <c r="G32" s="973">
        <v>2692</v>
      </c>
      <c r="H32" s="928"/>
      <c r="I32" s="973">
        <v>6895</v>
      </c>
      <c r="J32" s="928"/>
      <c r="K32" s="973">
        <v>38196</v>
      </c>
      <c r="L32" s="928"/>
      <c r="M32" s="974">
        <v>28609</v>
      </c>
      <c r="N32" s="928"/>
      <c r="O32" s="928"/>
      <c r="P32" s="928"/>
      <c r="Q32" s="973">
        <v>2692</v>
      </c>
      <c r="R32" s="928"/>
      <c r="S32" s="973">
        <v>31301</v>
      </c>
      <c r="T32" s="969"/>
      <c r="U32" s="1148"/>
      <c r="V32" s="1149"/>
      <c r="W32" s="928"/>
      <c r="X32" s="928"/>
    </row>
    <row r="33" spans="1:24" ht="15.5">
      <c r="A33" s="957"/>
      <c r="B33" s="967" t="s">
        <v>109</v>
      </c>
      <c r="C33" s="967" t="s">
        <v>1064</v>
      </c>
      <c r="D33" s="928"/>
      <c r="E33" s="973">
        <v>29413</v>
      </c>
      <c r="F33" s="928"/>
      <c r="G33" s="973">
        <v>2803</v>
      </c>
      <c r="H33" s="928"/>
      <c r="I33" s="973">
        <v>7089</v>
      </c>
      <c r="J33" s="928"/>
      <c r="K33" s="973">
        <v>39305</v>
      </c>
      <c r="L33" s="928"/>
      <c r="M33" s="974">
        <v>29413</v>
      </c>
      <c r="N33" s="928"/>
      <c r="O33" s="928"/>
      <c r="P33" s="928"/>
      <c r="Q33" s="973">
        <v>2803</v>
      </c>
      <c r="R33" s="928"/>
      <c r="S33" s="973">
        <v>32216</v>
      </c>
      <c r="T33" s="969"/>
      <c r="U33" s="1148"/>
      <c r="V33" s="1149"/>
      <c r="W33" s="928"/>
      <c r="X33" s="928"/>
    </row>
    <row r="34" spans="1:24" ht="15.5">
      <c r="A34" s="957" t="s">
        <v>1065</v>
      </c>
      <c r="B34" s="967" t="s">
        <v>109</v>
      </c>
      <c r="C34" s="967" t="s">
        <v>110</v>
      </c>
      <c r="D34" s="971"/>
      <c r="E34" s="972">
        <v>30296</v>
      </c>
      <c r="F34" s="928"/>
      <c r="G34" s="973">
        <v>2925</v>
      </c>
      <c r="H34" s="928"/>
      <c r="I34" s="973">
        <v>7301</v>
      </c>
      <c r="J34" s="928"/>
      <c r="K34" s="973">
        <v>40522</v>
      </c>
      <c r="L34" s="928"/>
      <c r="M34" s="974">
        <v>30296</v>
      </c>
      <c r="N34" s="928"/>
      <c r="O34" s="928"/>
      <c r="P34" s="928"/>
      <c r="Q34" s="973">
        <v>2925</v>
      </c>
      <c r="R34" s="928"/>
      <c r="S34" s="973">
        <v>33221</v>
      </c>
      <c r="T34" s="969"/>
      <c r="U34" s="1148"/>
      <c r="V34" s="1149"/>
      <c r="W34" s="928"/>
      <c r="X34" s="928"/>
    </row>
    <row r="35" spans="1:24" ht="15.5">
      <c r="A35" s="957" t="s">
        <v>1065</v>
      </c>
      <c r="B35" s="967"/>
      <c r="C35" s="967" t="s">
        <v>1066</v>
      </c>
      <c r="D35" s="928"/>
      <c r="E35" s="973">
        <v>31104</v>
      </c>
      <c r="F35" s="928"/>
      <c r="G35" s="973">
        <v>3037</v>
      </c>
      <c r="H35" s="928"/>
      <c r="I35" s="973">
        <v>7496</v>
      </c>
      <c r="J35" s="928"/>
      <c r="K35" s="973">
        <v>41637</v>
      </c>
      <c r="L35" s="928"/>
      <c r="M35" s="974">
        <v>31104</v>
      </c>
      <c r="N35" s="928"/>
      <c r="O35" s="928"/>
      <c r="P35" s="928"/>
      <c r="Q35" s="973">
        <v>3037</v>
      </c>
      <c r="R35" s="928"/>
      <c r="S35" s="973">
        <v>34141</v>
      </c>
      <c r="T35" s="969"/>
      <c r="U35" s="1148"/>
      <c r="V35" s="1149"/>
      <c r="W35" s="928"/>
      <c r="X35" s="928"/>
    </row>
    <row r="36" spans="1:24" ht="15.5">
      <c r="A36" s="957" t="s">
        <v>1065</v>
      </c>
      <c r="B36" s="967"/>
      <c r="C36" s="967" t="s">
        <v>1067</v>
      </c>
      <c r="D36" s="928"/>
      <c r="E36" s="973">
        <v>32064</v>
      </c>
      <c r="F36" s="928"/>
      <c r="G36" s="973">
        <v>3169</v>
      </c>
      <c r="H36" s="928"/>
      <c r="I36" s="973">
        <v>7727</v>
      </c>
      <c r="J36" s="928"/>
      <c r="K36" s="973">
        <v>42960</v>
      </c>
      <c r="L36" s="928"/>
      <c r="M36" s="974">
        <v>32064</v>
      </c>
      <c r="N36" s="928"/>
      <c r="O36" s="928"/>
      <c r="P36" s="928"/>
      <c r="Q36" s="973">
        <v>3169</v>
      </c>
      <c r="R36" s="928"/>
      <c r="S36" s="973">
        <v>35233</v>
      </c>
      <c r="T36" s="969"/>
      <c r="U36" s="1148"/>
      <c r="V36" s="1149"/>
      <c r="W36" s="928"/>
      <c r="X36" s="928"/>
    </row>
    <row r="37" spans="1:24" ht="15.5">
      <c r="A37" s="957" t="s">
        <v>1065</v>
      </c>
      <c r="B37" s="967" t="s">
        <v>113</v>
      </c>
      <c r="C37" s="967" t="s">
        <v>1068</v>
      </c>
      <c r="D37" s="971"/>
      <c r="E37" s="972">
        <v>33024</v>
      </c>
      <c r="F37" s="928"/>
      <c r="G37" s="973">
        <v>3302</v>
      </c>
      <c r="H37" s="928"/>
      <c r="I37" s="973">
        <v>7959</v>
      </c>
      <c r="J37" s="928"/>
      <c r="K37" s="973">
        <v>44285</v>
      </c>
      <c r="L37" s="928"/>
      <c r="M37" s="974">
        <v>33024</v>
      </c>
      <c r="N37" s="928"/>
      <c r="O37" s="928"/>
      <c r="P37" s="928"/>
      <c r="Q37" s="973">
        <v>3302</v>
      </c>
      <c r="R37" s="928"/>
      <c r="S37" s="973">
        <v>36326</v>
      </c>
      <c r="T37" s="969"/>
      <c r="U37" s="1148"/>
      <c r="V37" s="1149"/>
      <c r="W37" s="928"/>
      <c r="X37" s="928"/>
    </row>
    <row r="38" spans="1:24" ht="15.5">
      <c r="A38" s="957"/>
      <c r="B38" s="967" t="s">
        <v>113</v>
      </c>
      <c r="C38" s="967" t="s">
        <v>1069</v>
      </c>
      <c r="D38" s="928"/>
      <c r="E38" s="973">
        <v>34294</v>
      </c>
      <c r="F38" s="928"/>
      <c r="G38" s="973">
        <v>3477</v>
      </c>
      <c r="H38" s="928"/>
      <c r="I38" s="973">
        <v>8265</v>
      </c>
      <c r="J38" s="928"/>
      <c r="K38" s="973">
        <v>46036</v>
      </c>
      <c r="L38" s="928"/>
      <c r="M38" s="974">
        <v>34294</v>
      </c>
      <c r="N38" s="928"/>
      <c r="O38" s="928"/>
      <c r="P38" s="928"/>
      <c r="Q38" s="973">
        <v>3477</v>
      </c>
      <c r="R38" s="928"/>
      <c r="S38" s="973">
        <v>37771</v>
      </c>
      <c r="T38" s="969"/>
      <c r="U38" s="1148"/>
      <c r="V38" s="1149"/>
      <c r="W38" s="928"/>
      <c r="X38" s="928"/>
    </row>
    <row r="39" spans="1:24" ht="15.5">
      <c r="A39" s="957"/>
      <c r="B39" s="967" t="s">
        <v>113</v>
      </c>
      <c r="C39" s="967" t="s">
        <v>1070</v>
      </c>
      <c r="D39" s="928"/>
      <c r="E39" s="973">
        <v>35446</v>
      </c>
      <c r="F39" s="928"/>
      <c r="G39" s="973">
        <v>3636</v>
      </c>
      <c r="H39" s="928"/>
      <c r="I39" s="973">
        <v>8542</v>
      </c>
      <c r="J39" s="928"/>
      <c r="K39" s="973">
        <v>47624</v>
      </c>
      <c r="L39" s="928"/>
      <c r="M39" s="974">
        <v>35446</v>
      </c>
      <c r="N39" s="928"/>
      <c r="O39" s="928"/>
      <c r="P39" s="928"/>
      <c r="Q39" s="973">
        <v>3636</v>
      </c>
      <c r="R39" s="928"/>
      <c r="S39" s="973">
        <v>39082</v>
      </c>
      <c r="T39" s="969"/>
      <c r="U39" s="1148"/>
      <c r="V39" s="1149"/>
      <c r="W39" s="928"/>
      <c r="X39" s="928"/>
    </row>
    <row r="40" spans="1:24" ht="15.5">
      <c r="A40" s="957" t="s">
        <v>116</v>
      </c>
      <c r="B40" s="967" t="s">
        <v>113</v>
      </c>
      <c r="C40" s="967" t="s">
        <v>114</v>
      </c>
      <c r="D40" s="971"/>
      <c r="E40" s="972">
        <v>36648</v>
      </c>
      <c r="F40" s="928"/>
      <c r="G40" s="973">
        <v>3802</v>
      </c>
      <c r="H40" s="928"/>
      <c r="I40" s="973">
        <v>8832</v>
      </c>
      <c r="J40" s="928"/>
      <c r="K40" s="973">
        <v>49282</v>
      </c>
      <c r="L40" s="928"/>
      <c r="M40" s="974">
        <v>36648</v>
      </c>
      <c r="N40" s="928"/>
      <c r="O40" s="928"/>
      <c r="P40" s="928"/>
      <c r="Q40" s="973">
        <v>3802</v>
      </c>
      <c r="R40" s="928"/>
      <c r="S40" s="973">
        <v>40450</v>
      </c>
      <c r="T40" s="969"/>
      <c r="U40" s="1148"/>
      <c r="V40" s="1149"/>
      <c r="W40" s="928"/>
      <c r="X40" s="928"/>
    </row>
    <row r="41" spans="1:24" ht="15.5">
      <c r="A41" s="957" t="s">
        <v>116</v>
      </c>
      <c r="B41" s="967"/>
      <c r="C41" s="967" t="s">
        <v>1071</v>
      </c>
      <c r="D41" s="928"/>
      <c r="E41" s="973">
        <v>37847</v>
      </c>
      <c r="F41" s="928"/>
      <c r="G41" s="973">
        <v>3967</v>
      </c>
      <c r="H41" s="928"/>
      <c r="I41" s="973">
        <v>9121</v>
      </c>
      <c r="J41" s="928"/>
      <c r="K41" s="973">
        <v>50935</v>
      </c>
      <c r="L41" s="928"/>
      <c r="M41" s="974">
        <v>37847</v>
      </c>
      <c r="N41" s="928"/>
      <c r="O41" s="928"/>
      <c r="P41" s="928"/>
      <c r="Q41" s="973">
        <v>3967</v>
      </c>
      <c r="R41" s="928"/>
      <c r="S41" s="973">
        <v>41814</v>
      </c>
      <c r="T41" s="969"/>
      <c r="U41" s="1148"/>
      <c r="V41" s="1149"/>
      <c r="W41" s="928"/>
      <c r="X41" s="928"/>
    </row>
    <row r="42" spans="1:24" ht="15.5">
      <c r="A42" s="957" t="s">
        <v>116</v>
      </c>
      <c r="B42" s="967"/>
      <c r="C42" s="967" t="s">
        <v>1072</v>
      </c>
      <c r="D42" s="928"/>
      <c r="E42" s="973">
        <v>39031</v>
      </c>
      <c r="F42" s="928"/>
      <c r="G42" s="973">
        <v>4130</v>
      </c>
      <c r="H42" s="928"/>
      <c r="I42" s="973">
        <v>9406</v>
      </c>
      <c r="J42" s="928"/>
      <c r="K42" s="973">
        <v>52567</v>
      </c>
      <c r="L42" s="928"/>
      <c r="M42" s="974">
        <v>39031</v>
      </c>
      <c r="N42" s="928"/>
      <c r="O42" s="928"/>
      <c r="P42" s="928"/>
      <c r="Q42" s="973">
        <v>4130</v>
      </c>
      <c r="R42" s="928"/>
      <c r="S42" s="973">
        <v>43161</v>
      </c>
      <c r="T42" s="969"/>
      <c r="U42" s="1148"/>
      <c r="V42" s="1149"/>
      <c r="W42" s="928"/>
      <c r="X42" s="928"/>
    </row>
    <row r="43" spans="1:24" ht="15.5">
      <c r="A43" s="957" t="s">
        <v>116</v>
      </c>
      <c r="B43" s="967" t="s">
        <v>119</v>
      </c>
      <c r="C43" s="967" t="s">
        <v>1073</v>
      </c>
      <c r="D43" s="971"/>
      <c r="E43" s="972">
        <v>40221</v>
      </c>
      <c r="F43" s="928"/>
      <c r="G43" s="973">
        <v>4295</v>
      </c>
      <c r="H43" s="928"/>
      <c r="I43" s="973">
        <v>9693</v>
      </c>
      <c r="J43" s="928"/>
      <c r="K43" s="973">
        <v>54209</v>
      </c>
      <c r="L43" s="928"/>
      <c r="M43" s="974">
        <v>40221</v>
      </c>
      <c r="N43" s="928"/>
      <c r="O43" s="928"/>
      <c r="P43" s="928"/>
      <c r="Q43" s="973">
        <v>4295</v>
      </c>
      <c r="R43" s="928"/>
      <c r="S43" s="973">
        <v>44516</v>
      </c>
      <c r="T43" s="969"/>
      <c r="U43" s="1148"/>
      <c r="V43" s="1149"/>
      <c r="W43" s="928"/>
      <c r="X43" s="928"/>
    </row>
    <row r="44" spans="1:24" ht="15.5">
      <c r="A44" s="957"/>
      <c r="B44" s="967" t="s">
        <v>119</v>
      </c>
      <c r="C44" s="967" t="s">
        <v>117</v>
      </c>
      <c r="D44" s="928"/>
      <c r="E44" s="973">
        <v>41623</v>
      </c>
      <c r="F44" s="928"/>
      <c r="G44" s="973">
        <v>4488</v>
      </c>
      <c r="H44" s="928"/>
      <c r="I44" s="973">
        <v>10031</v>
      </c>
      <c r="J44" s="928"/>
      <c r="K44" s="973">
        <v>56142</v>
      </c>
      <c r="L44" s="928"/>
      <c r="M44" s="974">
        <v>41623</v>
      </c>
      <c r="N44" s="928"/>
      <c r="O44" s="928"/>
      <c r="P44" s="928"/>
      <c r="Q44" s="973">
        <v>4488</v>
      </c>
      <c r="R44" s="928"/>
      <c r="S44" s="973">
        <v>46111</v>
      </c>
      <c r="T44" s="969"/>
      <c r="U44" s="1148"/>
      <c r="V44" s="1149"/>
      <c r="W44" s="928"/>
      <c r="X44" s="928"/>
    </row>
    <row r="45" spans="1:24" ht="15.5">
      <c r="A45" s="957"/>
      <c r="B45" s="967" t="s">
        <v>119</v>
      </c>
      <c r="C45" s="967" t="s">
        <v>1074</v>
      </c>
      <c r="D45" s="928"/>
      <c r="E45" s="973">
        <v>43026</v>
      </c>
      <c r="F45" s="928"/>
      <c r="G45" s="973">
        <v>4682</v>
      </c>
      <c r="H45" s="928"/>
      <c r="I45" s="973">
        <v>10369</v>
      </c>
      <c r="J45" s="928"/>
      <c r="K45" s="973">
        <v>58077</v>
      </c>
      <c r="L45" s="928"/>
      <c r="M45" s="974">
        <v>43026</v>
      </c>
      <c r="N45" s="928"/>
      <c r="O45" s="928"/>
      <c r="P45" s="928"/>
      <c r="Q45" s="973">
        <v>4682</v>
      </c>
      <c r="R45" s="928"/>
      <c r="S45" s="973">
        <v>47708</v>
      </c>
      <c r="T45" s="969"/>
      <c r="U45" s="1148"/>
      <c r="V45" s="1149"/>
      <c r="W45" s="928"/>
      <c r="X45" s="928"/>
    </row>
    <row r="46" spans="1:24" ht="15.5">
      <c r="A46" s="957" t="s">
        <v>1075</v>
      </c>
      <c r="B46" s="967" t="s">
        <v>119</v>
      </c>
      <c r="C46" s="967" t="s">
        <v>120</v>
      </c>
      <c r="D46" s="971"/>
      <c r="E46" s="972">
        <v>44428</v>
      </c>
      <c r="F46" s="928"/>
      <c r="G46" s="973">
        <v>4875</v>
      </c>
      <c r="H46" s="928"/>
      <c r="I46" s="973">
        <v>10707</v>
      </c>
      <c r="J46" s="928"/>
      <c r="K46" s="973">
        <v>60010</v>
      </c>
      <c r="L46" s="928"/>
      <c r="M46" s="974">
        <v>44428</v>
      </c>
      <c r="N46" s="928"/>
      <c r="O46" s="928"/>
      <c r="P46" s="928"/>
      <c r="Q46" s="973">
        <v>4875</v>
      </c>
      <c r="R46" s="928"/>
      <c r="S46" s="973">
        <v>49303</v>
      </c>
      <c r="T46" s="969"/>
      <c r="U46" s="1148"/>
      <c r="V46" s="1149"/>
      <c r="W46" s="928"/>
      <c r="X46" s="928"/>
    </row>
    <row r="47" spans="1:24" ht="15.5">
      <c r="A47" s="957" t="s">
        <v>1075</v>
      </c>
      <c r="B47" s="967"/>
      <c r="C47" s="967" t="s">
        <v>1076</v>
      </c>
      <c r="D47" s="928"/>
      <c r="E47" s="973">
        <v>46118</v>
      </c>
      <c r="F47" s="928"/>
      <c r="G47" s="973">
        <v>5108</v>
      </c>
      <c r="H47" s="928"/>
      <c r="I47" s="973">
        <v>11114</v>
      </c>
      <c r="J47" s="928"/>
      <c r="K47" s="973">
        <v>62340</v>
      </c>
      <c r="L47" s="928"/>
      <c r="M47" s="974">
        <v>46118</v>
      </c>
      <c r="N47" s="928"/>
      <c r="O47" s="928"/>
      <c r="P47" s="928"/>
      <c r="Q47" s="973">
        <v>5108</v>
      </c>
      <c r="R47" s="928"/>
      <c r="S47" s="973">
        <v>51226</v>
      </c>
      <c r="T47" s="969"/>
      <c r="U47" s="1148"/>
      <c r="V47" s="1149"/>
      <c r="W47" s="928"/>
      <c r="X47" s="928"/>
    </row>
    <row r="48" spans="1:24" ht="15.5">
      <c r="A48" s="957" t="s">
        <v>1075</v>
      </c>
      <c r="B48" s="967"/>
      <c r="C48" s="967" t="s">
        <v>1077</v>
      </c>
      <c r="D48" s="928"/>
      <c r="E48" s="973">
        <v>47807</v>
      </c>
      <c r="F48" s="928"/>
      <c r="G48" s="973">
        <v>5342</v>
      </c>
      <c r="H48" s="928"/>
      <c r="I48" s="973">
        <v>11521</v>
      </c>
      <c r="J48" s="928"/>
      <c r="K48" s="973">
        <v>64670</v>
      </c>
      <c r="L48" s="928"/>
      <c r="M48" s="974">
        <v>47807</v>
      </c>
      <c r="N48" s="928"/>
      <c r="O48" s="928"/>
      <c r="P48" s="928"/>
      <c r="Q48" s="973">
        <v>5342</v>
      </c>
      <c r="R48" s="928"/>
      <c r="S48" s="973">
        <v>53149</v>
      </c>
      <c r="T48" s="969"/>
      <c r="U48" s="1148"/>
      <c r="V48" s="1149"/>
      <c r="W48" s="928"/>
      <c r="X48" s="928"/>
    </row>
    <row r="49" spans="1:24" ht="15.5">
      <c r="A49" s="970" t="s">
        <v>1075</v>
      </c>
      <c r="B49" s="967" t="s">
        <v>1078</v>
      </c>
      <c r="C49" s="967" t="s">
        <v>1079</v>
      </c>
      <c r="D49" s="971"/>
      <c r="E49" s="972">
        <v>49919</v>
      </c>
      <c r="F49" s="928"/>
      <c r="G49" s="973">
        <v>5633</v>
      </c>
      <c r="H49" s="928"/>
      <c r="I49" s="973">
        <v>12030</v>
      </c>
      <c r="J49" s="928"/>
      <c r="K49" s="973">
        <v>67582</v>
      </c>
      <c r="L49" s="928"/>
      <c r="M49" s="974">
        <v>49919</v>
      </c>
      <c r="N49" s="928"/>
      <c r="O49" s="928"/>
      <c r="P49" s="928"/>
      <c r="Q49" s="973">
        <v>5633</v>
      </c>
      <c r="R49" s="928"/>
      <c r="S49" s="973">
        <v>55552</v>
      </c>
      <c r="T49" s="969"/>
      <c r="U49" s="1148"/>
      <c r="V49" s="1149"/>
      <c r="W49" s="928"/>
      <c r="X49" s="928"/>
    </row>
    <row r="50" spans="1:24" ht="15.5">
      <c r="A50" s="975"/>
      <c r="B50" s="967" t="s">
        <v>1078</v>
      </c>
      <c r="C50" s="967" t="s">
        <v>1080</v>
      </c>
      <c r="D50" s="928"/>
      <c r="E50" s="973">
        <v>51868</v>
      </c>
      <c r="F50" s="928"/>
      <c r="G50" s="973">
        <v>5902</v>
      </c>
      <c r="H50" s="928"/>
      <c r="I50" s="973">
        <v>12500</v>
      </c>
      <c r="J50" s="928"/>
      <c r="K50" s="973">
        <v>70270</v>
      </c>
      <c r="L50" s="928"/>
      <c r="M50" s="974">
        <v>51868</v>
      </c>
      <c r="N50" s="928"/>
      <c r="O50" s="928"/>
      <c r="P50" s="928"/>
      <c r="Q50" s="973">
        <v>5902</v>
      </c>
      <c r="R50" s="928"/>
      <c r="S50" s="973">
        <v>57770</v>
      </c>
      <c r="T50" s="969"/>
      <c r="U50" s="1148"/>
      <c r="V50" s="1149"/>
      <c r="W50" s="928"/>
      <c r="X50" s="928"/>
    </row>
    <row r="51" spans="1:24" ht="15.5">
      <c r="A51" s="970"/>
      <c r="B51" s="967" t="s">
        <v>1078</v>
      </c>
      <c r="C51" s="967" t="s">
        <v>1081</v>
      </c>
      <c r="D51" s="928"/>
      <c r="E51" s="973">
        <v>54318</v>
      </c>
      <c r="F51" s="928"/>
      <c r="G51" s="973">
        <v>6240</v>
      </c>
      <c r="H51" s="928"/>
      <c r="I51" s="973">
        <v>13091</v>
      </c>
      <c r="J51" s="928"/>
      <c r="K51" s="973">
        <v>73649</v>
      </c>
      <c r="L51" s="928"/>
      <c r="M51" s="974">
        <v>54318</v>
      </c>
      <c r="N51" s="928"/>
      <c r="O51" s="928"/>
      <c r="P51" s="928"/>
      <c r="Q51" s="973">
        <v>6240</v>
      </c>
      <c r="R51" s="928"/>
      <c r="S51" s="973">
        <v>60558</v>
      </c>
      <c r="T51" s="969"/>
      <c r="U51" s="1148"/>
      <c r="V51" s="1149"/>
      <c r="W51" s="928"/>
      <c r="X51" s="928"/>
    </row>
    <row r="52" spans="1:24" ht="15.5">
      <c r="A52" s="970" t="s">
        <v>1082</v>
      </c>
      <c r="B52" s="967" t="s">
        <v>1078</v>
      </c>
      <c r="C52" s="967" t="s">
        <v>1083</v>
      </c>
      <c r="D52" s="928"/>
      <c r="E52" s="973">
        <v>56769</v>
      </c>
      <c r="F52" s="928"/>
      <c r="G52" s="973">
        <v>6578</v>
      </c>
      <c r="H52" s="928"/>
      <c r="I52" s="973">
        <v>13681</v>
      </c>
      <c r="J52" s="928"/>
      <c r="K52" s="973">
        <v>77028</v>
      </c>
      <c r="L52" s="928"/>
      <c r="M52" s="974">
        <v>56769</v>
      </c>
      <c r="N52" s="928"/>
      <c r="O52" s="928"/>
      <c r="P52" s="928"/>
      <c r="Q52" s="973">
        <v>6578</v>
      </c>
      <c r="R52" s="928"/>
      <c r="S52" s="973">
        <v>63347</v>
      </c>
      <c r="T52" s="969"/>
      <c r="U52" s="1148"/>
      <c r="V52" s="1149"/>
      <c r="W52" s="928"/>
      <c r="X52" s="928"/>
    </row>
    <row r="53" spans="1:24" ht="15.5">
      <c r="A53" s="970" t="s">
        <v>1082</v>
      </c>
      <c r="B53" s="967"/>
      <c r="C53" s="967" t="s">
        <v>1084</v>
      </c>
      <c r="D53" s="928"/>
      <c r="E53" s="973">
        <v>58606</v>
      </c>
      <c r="F53" s="928"/>
      <c r="G53" s="973">
        <v>6832</v>
      </c>
      <c r="H53" s="928"/>
      <c r="I53" s="973">
        <v>14124</v>
      </c>
      <c r="J53" s="928"/>
      <c r="K53" s="973">
        <v>79562</v>
      </c>
      <c r="L53" s="928"/>
      <c r="M53" s="974">
        <v>58606</v>
      </c>
      <c r="N53" s="928"/>
      <c r="O53" s="928"/>
      <c r="P53" s="928"/>
      <c r="Q53" s="973">
        <v>6832</v>
      </c>
      <c r="R53" s="928"/>
      <c r="S53" s="973">
        <v>65438</v>
      </c>
      <c r="T53" s="969"/>
      <c r="U53" s="1148"/>
      <c r="V53" s="1149"/>
      <c r="W53" s="928"/>
      <c r="X53" s="928"/>
    </row>
    <row r="54" spans="1:24" ht="15.5">
      <c r="A54" s="970" t="s">
        <v>1082</v>
      </c>
      <c r="B54" s="967"/>
      <c r="C54" s="967" t="s">
        <v>1085</v>
      </c>
      <c r="D54" s="928"/>
      <c r="E54" s="973">
        <v>60443</v>
      </c>
      <c r="F54" s="928"/>
      <c r="G54" s="973">
        <v>7085</v>
      </c>
      <c r="H54" s="928"/>
      <c r="I54" s="973">
        <v>14567</v>
      </c>
      <c r="J54" s="928"/>
      <c r="K54" s="973">
        <v>82095</v>
      </c>
      <c r="L54" s="928"/>
      <c r="M54" s="974">
        <v>60443</v>
      </c>
      <c r="N54" s="928"/>
      <c r="O54" s="928"/>
      <c r="P54" s="928"/>
      <c r="Q54" s="973">
        <v>7085</v>
      </c>
      <c r="R54" s="928"/>
      <c r="S54" s="973">
        <v>67528</v>
      </c>
      <c r="T54" s="969"/>
      <c r="U54" s="1148"/>
      <c r="V54" s="1149"/>
      <c r="W54" s="928"/>
      <c r="X54" s="928"/>
    </row>
    <row r="55" spans="1:24" ht="15.5">
      <c r="A55" s="970" t="s">
        <v>1082</v>
      </c>
      <c r="B55" s="967" t="s">
        <v>1086</v>
      </c>
      <c r="C55" s="967" t="s">
        <v>1087</v>
      </c>
      <c r="D55" s="928"/>
      <c r="E55" s="973">
        <v>62278</v>
      </c>
      <c r="F55" s="928"/>
      <c r="G55" s="973">
        <v>7339</v>
      </c>
      <c r="H55" s="928"/>
      <c r="I55" s="973">
        <v>15009</v>
      </c>
      <c r="J55" s="928"/>
      <c r="K55" s="973">
        <v>84626</v>
      </c>
      <c r="L55" s="928"/>
      <c r="M55" s="974">
        <v>62278</v>
      </c>
      <c r="N55" s="928"/>
      <c r="O55" s="928"/>
      <c r="P55" s="928"/>
      <c r="Q55" s="973">
        <v>7339</v>
      </c>
      <c r="R55" s="928"/>
      <c r="S55" s="973">
        <v>69617</v>
      </c>
      <c r="T55" s="969"/>
      <c r="U55" s="1148"/>
      <c r="V55" s="1149"/>
      <c r="W55" s="928"/>
      <c r="X55" s="928"/>
    </row>
    <row r="56" spans="1:24" ht="15.5">
      <c r="A56" s="970"/>
      <c r="B56" s="967" t="s">
        <v>1086</v>
      </c>
      <c r="C56" s="967" t="s">
        <v>1088</v>
      </c>
      <c r="D56" s="928"/>
      <c r="E56" s="973">
        <v>64115</v>
      </c>
      <c r="F56" s="928"/>
      <c r="G56" s="973">
        <v>7592</v>
      </c>
      <c r="H56" s="928"/>
      <c r="I56" s="973">
        <v>15452</v>
      </c>
      <c r="J56" s="928"/>
      <c r="K56" s="973">
        <v>87159</v>
      </c>
      <c r="L56" s="928"/>
      <c r="M56" s="974">
        <v>64115</v>
      </c>
      <c r="N56" s="928"/>
      <c r="O56" s="928"/>
      <c r="P56" s="928"/>
      <c r="Q56" s="973">
        <v>7592</v>
      </c>
      <c r="R56" s="928"/>
      <c r="S56" s="973">
        <v>71707</v>
      </c>
      <c r="T56" s="969"/>
      <c r="U56" s="1148"/>
      <c r="V56" s="1149"/>
      <c r="W56" s="928"/>
      <c r="X56" s="928"/>
    </row>
    <row r="57" spans="1:24" ht="15.5">
      <c r="A57" s="970"/>
      <c r="B57" s="967" t="s">
        <v>1086</v>
      </c>
      <c r="C57" s="967" t="s">
        <v>1089</v>
      </c>
      <c r="D57" s="928"/>
      <c r="E57" s="973">
        <v>65953</v>
      </c>
      <c r="F57" s="928"/>
      <c r="G57" s="973">
        <v>7846</v>
      </c>
      <c r="H57" s="928"/>
      <c r="I57" s="973">
        <v>15895</v>
      </c>
      <c r="J57" s="928"/>
      <c r="K57" s="973">
        <v>89694</v>
      </c>
      <c r="L57" s="928"/>
      <c r="M57" s="974">
        <v>65953</v>
      </c>
      <c r="N57" s="928"/>
      <c r="O57" s="928"/>
      <c r="P57" s="928"/>
      <c r="Q57" s="973">
        <v>7846</v>
      </c>
      <c r="R57" s="928"/>
      <c r="S57" s="973">
        <v>73799</v>
      </c>
      <c r="T57" s="969"/>
      <c r="U57" s="1148"/>
      <c r="V57" s="1149"/>
      <c r="W57" s="928"/>
      <c r="X57" s="928"/>
    </row>
    <row r="58" spans="1:24" ht="15.5">
      <c r="A58" s="970" t="s">
        <v>1090</v>
      </c>
      <c r="B58" s="967" t="s">
        <v>1086</v>
      </c>
      <c r="C58" s="967" t="s">
        <v>1091</v>
      </c>
      <c r="D58" s="928"/>
      <c r="E58" s="973">
        <v>67790</v>
      </c>
      <c r="F58" s="928"/>
      <c r="G58" s="973">
        <v>8099</v>
      </c>
      <c r="H58" s="928"/>
      <c r="I58" s="973">
        <v>16337</v>
      </c>
      <c r="J58" s="928"/>
      <c r="K58" s="973">
        <v>92226</v>
      </c>
      <c r="L58" s="928"/>
      <c r="M58" s="974">
        <v>67790</v>
      </c>
      <c r="N58" s="928"/>
      <c r="O58" s="928"/>
      <c r="P58" s="928"/>
      <c r="Q58" s="973">
        <v>8099</v>
      </c>
      <c r="R58" s="928"/>
      <c r="S58" s="973">
        <v>75889</v>
      </c>
      <c r="T58" s="969"/>
      <c r="U58" s="1148"/>
      <c r="V58" s="1149"/>
      <c r="W58" s="928"/>
      <c r="X58" s="928"/>
    </row>
    <row r="59" spans="1:24" ht="15.5">
      <c r="A59" s="970" t="s">
        <v>1090</v>
      </c>
      <c r="B59" s="967"/>
      <c r="C59" s="967" t="s">
        <v>1092</v>
      </c>
      <c r="D59" s="928"/>
      <c r="E59" s="973">
        <v>69626</v>
      </c>
      <c r="F59" s="928"/>
      <c r="G59" s="973">
        <v>8353</v>
      </c>
      <c r="H59" s="928"/>
      <c r="I59" s="973">
        <v>16780</v>
      </c>
      <c r="J59" s="928"/>
      <c r="K59" s="973">
        <v>94759</v>
      </c>
      <c r="L59" s="928"/>
      <c r="M59" s="974">
        <v>69626</v>
      </c>
      <c r="N59" s="928"/>
      <c r="O59" s="928"/>
      <c r="P59" s="928"/>
      <c r="Q59" s="973">
        <v>8353</v>
      </c>
      <c r="R59" s="928"/>
      <c r="S59" s="973">
        <v>77979</v>
      </c>
      <c r="T59" s="969"/>
      <c r="U59" s="1148"/>
      <c r="V59" s="1149"/>
      <c r="W59" s="928"/>
      <c r="X59" s="928"/>
    </row>
    <row r="60" spans="1:24" ht="15.5">
      <c r="A60" s="970" t="s">
        <v>1090</v>
      </c>
      <c r="B60" s="967"/>
      <c r="C60" s="967" t="s">
        <v>1093</v>
      </c>
      <c r="D60" s="928"/>
      <c r="E60" s="973">
        <v>71463</v>
      </c>
      <c r="F60" s="928"/>
      <c r="G60" s="973">
        <v>8606</v>
      </c>
      <c r="H60" s="928"/>
      <c r="I60" s="973">
        <v>17223</v>
      </c>
      <c r="J60" s="928"/>
      <c r="K60" s="973">
        <v>97292</v>
      </c>
      <c r="L60" s="928"/>
      <c r="M60" s="974">
        <v>71463</v>
      </c>
      <c r="N60" s="928"/>
      <c r="O60" s="928"/>
      <c r="P60" s="928"/>
      <c r="Q60" s="973">
        <v>8606</v>
      </c>
      <c r="R60" s="928"/>
      <c r="S60" s="973">
        <v>80069</v>
      </c>
      <c r="T60" s="969"/>
      <c r="U60" s="1148"/>
      <c r="V60" s="1149"/>
      <c r="W60" s="928"/>
      <c r="X60" s="928"/>
    </row>
    <row r="61" spans="1:24" ht="15.5">
      <c r="A61" s="970" t="s">
        <v>1090</v>
      </c>
      <c r="B61" s="967" t="s">
        <v>1094</v>
      </c>
      <c r="C61" s="967" t="s">
        <v>1095</v>
      </c>
      <c r="D61" s="928"/>
      <c r="E61" s="973">
        <v>73299</v>
      </c>
      <c r="F61" s="928"/>
      <c r="G61" s="973">
        <v>8859</v>
      </c>
      <c r="H61" s="928"/>
      <c r="I61" s="973">
        <v>17665</v>
      </c>
      <c r="J61" s="928"/>
      <c r="K61" s="973">
        <v>99823</v>
      </c>
      <c r="L61" s="928"/>
      <c r="M61" s="974">
        <v>73299</v>
      </c>
      <c r="N61" s="928"/>
      <c r="O61" s="928"/>
      <c r="P61" s="928"/>
      <c r="Q61" s="973">
        <v>8859</v>
      </c>
      <c r="R61" s="928"/>
      <c r="S61" s="973">
        <v>82158</v>
      </c>
      <c r="T61" s="969"/>
      <c r="U61" s="1148"/>
      <c r="V61" s="1149"/>
      <c r="W61" s="928"/>
      <c r="X61" s="928"/>
    </row>
    <row r="62" spans="1:24" ht="15.5">
      <c r="A62" s="970"/>
      <c r="B62" s="967" t="s">
        <v>1094</v>
      </c>
      <c r="C62" s="967" t="s">
        <v>1096</v>
      </c>
      <c r="D62" s="928"/>
      <c r="E62" s="973">
        <v>75136</v>
      </c>
      <c r="F62" s="928"/>
      <c r="G62" s="973">
        <v>9113</v>
      </c>
      <c r="H62" s="928"/>
      <c r="I62" s="973">
        <v>18108</v>
      </c>
      <c r="J62" s="928"/>
      <c r="K62" s="973">
        <v>102357</v>
      </c>
      <c r="L62" s="928"/>
      <c r="M62" s="974">
        <v>75136</v>
      </c>
      <c r="N62" s="928"/>
      <c r="O62" s="928"/>
      <c r="P62" s="928"/>
      <c r="Q62" s="973">
        <v>9113</v>
      </c>
      <c r="R62" s="928"/>
      <c r="S62" s="973">
        <v>84249</v>
      </c>
      <c r="T62" s="969"/>
      <c r="U62" s="1148"/>
      <c r="V62" s="1149"/>
      <c r="W62" s="928"/>
      <c r="X62" s="928"/>
    </row>
    <row r="63" spans="1:24" ht="15.5">
      <c r="A63" s="970"/>
      <c r="B63" s="967" t="s">
        <v>1094</v>
      </c>
      <c r="C63" s="967" t="s">
        <v>1097</v>
      </c>
      <c r="D63" s="928"/>
      <c r="E63" s="973">
        <v>76972</v>
      </c>
      <c r="F63" s="928"/>
      <c r="G63" s="973">
        <v>9366</v>
      </c>
      <c r="H63" s="928"/>
      <c r="I63" s="973">
        <v>18550</v>
      </c>
      <c r="J63" s="928"/>
      <c r="K63" s="973">
        <v>104888</v>
      </c>
      <c r="L63" s="928"/>
      <c r="M63" s="974">
        <v>76972</v>
      </c>
      <c r="N63" s="928"/>
      <c r="O63" s="928"/>
      <c r="P63" s="928"/>
      <c r="Q63" s="973">
        <v>9366</v>
      </c>
      <c r="R63" s="928"/>
      <c r="S63" s="973">
        <v>86338</v>
      </c>
      <c r="T63" s="969"/>
      <c r="U63" s="1148"/>
      <c r="V63" s="1149"/>
      <c r="W63" s="928"/>
      <c r="X63" s="928"/>
    </row>
    <row r="64" spans="1:24" ht="15.5">
      <c r="A64" s="970"/>
      <c r="B64" s="967" t="s">
        <v>1094</v>
      </c>
      <c r="C64" s="967" t="s">
        <v>1098</v>
      </c>
      <c r="D64" s="928"/>
      <c r="E64" s="973">
        <v>78811</v>
      </c>
      <c r="F64" s="928"/>
      <c r="G64" s="973">
        <v>9620</v>
      </c>
      <c r="H64" s="928"/>
      <c r="I64" s="973">
        <v>18993</v>
      </c>
      <c r="J64" s="928"/>
      <c r="K64" s="973">
        <v>107424</v>
      </c>
      <c r="L64" s="928"/>
      <c r="M64" s="974">
        <v>78811</v>
      </c>
      <c r="N64" s="928"/>
      <c r="O64" s="928"/>
      <c r="P64" s="928"/>
      <c r="Q64" s="973">
        <v>9620</v>
      </c>
      <c r="R64" s="928"/>
      <c r="S64" s="973">
        <v>88431</v>
      </c>
      <c r="T64" s="969"/>
      <c r="U64" s="1148"/>
      <c r="V64" s="1149"/>
      <c r="W64" s="928"/>
      <c r="X64" s="928"/>
    </row>
    <row r="65" spans="1:24" ht="16" thickBot="1">
      <c r="A65" s="976"/>
      <c r="B65" s="977"/>
      <c r="C65" s="977"/>
      <c r="D65" s="978"/>
      <c r="E65" s="978"/>
      <c r="F65" s="978"/>
      <c r="G65" s="978"/>
      <c r="H65" s="978"/>
      <c r="I65" s="978"/>
      <c r="J65" s="978"/>
      <c r="K65" s="978"/>
      <c r="L65" s="978"/>
      <c r="M65" s="979"/>
      <c r="N65" s="978"/>
      <c r="O65" s="978"/>
      <c r="P65" s="978"/>
      <c r="Q65" s="978"/>
      <c r="R65" s="978"/>
      <c r="S65" s="978"/>
      <c r="T65" s="980"/>
      <c r="U65" s="1148"/>
      <c r="V65" s="1149"/>
      <c r="W65" s="928"/>
      <c r="X65" s="928"/>
    </row>
    <row r="66" spans="1:24" ht="16" thickTop="1">
      <c r="A66" s="928"/>
      <c r="B66" s="928"/>
      <c r="C66" s="928"/>
      <c r="D66" s="928"/>
      <c r="E66" s="928"/>
      <c r="F66" s="928"/>
      <c r="G66" s="928"/>
      <c r="H66" s="928"/>
      <c r="I66" s="928"/>
      <c r="J66" s="928"/>
      <c r="K66" s="928"/>
      <c r="L66" s="928"/>
      <c r="M66" s="928"/>
      <c r="N66" s="928"/>
      <c r="O66" s="928"/>
      <c r="P66" s="928"/>
      <c r="Q66" s="928"/>
      <c r="R66" s="928"/>
      <c r="S66" s="928"/>
      <c r="T66" s="928"/>
      <c r="U66" s="1149"/>
      <c r="V66" s="1149"/>
      <c r="W66" s="928"/>
      <c r="X66" s="928"/>
    </row>
  </sheetData>
  <mergeCells count="64">
    <mergeCell ref="A14:B14"/>
    <mergeCell ref="U14:V14"/>
    <mergeCell ref="U1:V1"/>
    <mergeCell ref="U2:V2"/>
    <mergeCell ref="U3:V3"/>
    <mergeCell ref="U4:V4"/>
    <mergeCell ref="U5:V5"/>
    <mergeCell ref="B7:C7"/>
    <mergeCell ref="U20:V20"/>
    <mergeCell ref="U11:V11"/>
    <mergeCell ref="E13:K13"/>
    <mergeCell ref="M13:S13"/>
    <mergeCell ref="U13:V13"/>
    <mergeCell ref="U15:V15"/>
    <mergeCell ref="U16:V16"/>
    <mergeCell ref="U17:V17"/>
    <mergeCell ref="U18:V18"/>
    <mergeCell ref="U19:V19"/>
    <mergeCell ref="U32:V32"/>
    <mergeCell ref="U21:V21"/>
    <mergeCell ref="U22:V22"/>
    <mergeCell ref="U23:V23"/>
    <mergeCell ref="U24:V24"/>
    <mergeCell ref="U25:V25"/>
    <mergeCell ref="U26:V26"/>
    <mergeCell ref="U27:V27"/>
    <mergeCell ref="U28:V28"/>
    <mergeCell ref="U29:V29"/>
    <mergeCell ref="U30:V30"/>
    <mergeCell ref="U31:V31"/>
    <mergeCell ref="U44:V44"/>
    <mergeCell ref="U33:V33"/>
    <mergeCell ref="U34:V34"/>
    <mergeCell ref="U35:V35"/>
    <mergeCell ref="U36:V36"/>
    <mergeCell ref="U37:V37"/>
    <mergeCell ref="U38:V38"/>
    <mergeCell ref="U39:V39"/>
    <mergeCell ref="U40:V40"/>
    <mergeCell ref="U41:V41"/>
    <mergeCell ref="U42:V42"/>
    <mergeCell ref="U43:V43"/>
    <mergeCell ref="U56:V56"/>
    <mergeCell ref="U45:V45"/>
    <mergeCell ref="U46:V46"/>
    <mergeCell ref="U47:V47"/>
    <mergeCell ref="U48:V48"/>
    <mergeCell ref="U49:V49"/>
    <mergeCell ref="U50:V50"/>
    <mergeCell ref="U51:V51"/>
    <mergeCell ref="U52:V52"/>
    <mergeCell ref="U53:V53"/>
    <mergeCell ref="U54:V54"/>
    <mergeCell ref="U55:V55"/>
    <mergeCell ref="U63:V63"/>
    <mergeCell ref="U64:V64"/>
    <mergeCell ref="U65:V65"/>
    <mergeCell ref="U66:V66"/>
    <mergeCell ref="U57:V57"/>
    <mergeCell ref="U58:V58"/>
    <mergeCell ref="U59:V59"/>
    <mergeCell ref="U60:V60"/>
    <mergeCell ref="U61:V61"/>
    <mergeCell ref="U62:V6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N34"/>
  <sheetViews>
    <sheetView workbookViewId="0">
      <selection activeCell="H14" sqref="H14"/>
    </sheetView>
  </sheetViews>
  <sheetFormatPr defaultRowHeight="14"/>
  <cols>
    <col min="2" max="2" width="12.83203125" style="64" customWidth="1"/>
    <col min="4" max="4" width="12.83203125" style="64" customWidth="1"/>
    <col min="6" max="6" width="12.83203125" style="64" customWidth="1"/>
    <col min="8" max="8" width="12.83203125" style="64" customWidth="1"/>
    <col min="10" max="10" width="12.83203125" style="64" customWidth="1"/>
    <col min="12" max="12" width="12.83203125" style="64" customWidth="1"/>
    <col min="14" max="14" width="12.83203125" style="64" customWidth="1"/>
  </cols>
  <sheetData>
    <row r="1" spans="1:14" ht="23">
      <c r="A1" s="80" t="s">
        <v>1099</v>
      </c>
    </row>
    <row r="4" spans="1:14">
      <c r="B4" s="81" t="s">
        <v>1100</v>
      </c>
    </row>
    <row r="6" spans="1:14">
      <c r="B6" s="63" t="s">
        <v>1101</v>
      </c>
      <c r="D6" s="63" t="s">
        <v>1102</v>
      </c>
      <c r="F6" s="63" t="s">
        <v>1103</v>
      </c>
      <c r="H6" s="63" t="s">
        <v>915</v>
      </c>
      <c r="J6" s="63" t="s">
        <v>1104</v>
      </c>
      <c r="L6" s="63" t="s">
        <v>910</v>
      </c>
      <c r="N6" s="63" t="s">
        <v>77</v>
      </c>
    </row>
    <row r="7" spans="1:14">
      <c r="B7" s="82">
        <v>10</v>
      </c>
      <c r="D7" s="82">
        <v>63</v>
      </c>
      <c r="F7" s="82">
        <v>33</v>
      </c>
      <c r="H7" s="82">
        <v>59</v>
      </c>
      <c r="J7" s="82">
        <v>59</v>
      </c>
      <c r="L7" s="82">
        <v>28</v>
      </c>
      <c r="N7" s="82">
        <v>252</v>
      </c>
    </row>
    <row r="11" spans="1:14">
      <c r="B11" s="81" t="s">
        <v>1105</v>
      </c>
    </row>
    <row r="13" spans="1:14">
      <c r="D13" s="63" t="s">
        <v>907</v>
      </c>
      <c r="F13" s="63" t="s">
        <v>913</v>
      </c>
      <c r="H13" s="63" t="s">
        <v>1106</v>
      </c>
      <c r="J13" s="63" t="s">
        <v>915</v>
      </c>
      <c r="L13" s="63" t="s">
        <v>910</v>
      </c>
      <c r="N13" s="63" t="s">
        <v>77</v>
      </c>
    </row>
    <row r="14" spans="1:14">
      <c r="D14" s="82">
        <v>63</v>
      </c>
      <c r="F14" s="82">
        <v>63</v>
      </c>
      <c r="H14" s="73" t="s">
        <v>1107</v>
      </c>
      <c r="J14" s="82">
        <v>63</v>
      </c>
      <c r="L14" s="82">
        <v>63</v>
      </c>
      <c r="N14" s="82">
        <v>252</v>
      </c>
    </row>
    <row r="17" spans="2:7">
      <c r="B17" s="76" t="s">
        <v>1108</v>
      </c>
    </row>
    <row r="18" spans="2:7">
      <c r="B18" t="s">
        <v>1109</v>
      </c>
    </row>
    <row r="20" spans="2:7">
      <c r="B20" t="s">
        <v>1110</v>
      </c>
    </row>
    <row r="21" spans="2:7">
      <c r="B21" s="83" t="s">
        <v>1111</v>
      </c>
    </row>
    <row r="23" spans="2:7">
      <c r="B23" s="76"/>
    </row>
    <row r="24" spans="2:7">
      <c r="D24" s="84" t="s">
        <v>1112</v>
      </c>
      <c r="E24" s="85"/>
    </row>
    <row r="25" spans="2:7">
      <c r="D25" s="86"/>
      <c r="E25" s="87" t="s">
        <v>1113</v>
      </c>
    </row>
    <row r="26" spans="2:7">
      <c r="D26" s="88" t="s">
        <v>1114</v>
      </c>
      <c r="E26" s="87" t="s">
        <v>1106</v>
      </c>
      <c r="G26" t="s">
        <v>1115</v>
      </c>
    </row>
    <row r="27" spans="2:7">
      <c r="D27" s="66" t="s">
        <v>1116</v>
      </c>
      <c r="E27" s="87">
        <v>8</v>
      </c>
    </row>
    <row r="28" spans="2:7">
      <c r="D28" s="66" t="s">
        <v>1117</v>
      </c>
      <c r="E28" s="87">
        <v>8</v>
      </c>
    </row>
    <row r="29" spans="2:7">
      <c r="D29" s="66" t="s">
        <v>1118</v>
      </c>
      <c r="E29" s="87">
        <v>8</v>
      </c>
    </row>
    <row r="30" spans="2:7">
      <c r="D30" s="66" t="s">
        <v>1118</v>
      </c>
      <c r="E30" s="87">
        <v>8</v>
      </c>
    </row>
    <row r="31" spans="2:7">
      <c r="D31" s="66" t="s">
        <v>1118</v>
      </c>
      <c r="E31" s="87">
        <v>8</v>
      </c>
    </row>
    <row r="32" spans="2:7">
      <c r="D32" s="66" t="s">
        <v>1119</v>
      </c>
      <c r="E32" s="87">
        <v>8</v>
      </c>
    </row>
    <row r="33" spans="4:5">
      <c r="D33" s="66" t="s">
        <v>1119</v>
      </c>
      <c r="E33" s="87">
        <v>8</v>
      </c>
    </row>
    <row r="34" spans="4:5">
      <c r="D34" s="71" t="s">
        <v>1119</v>
      </c>
      <c r="E34" s="89">
        <v>8</v>
      </c>
    </row>
  </sheetData>
  <pageMargins left="0.70866141732283472" right="0.70866141732283472" top="0.74803149606299213" bottom="0.74803149606299213" header="0.31496062992125984" footer="0.31496062992125984"/>
  <pageSetup paperSize="9" scale="7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7"/>
  <sheetViews>
    <sheetView workbookViewId="0">
      <selection activeCell="E24" activeCellId="3" sqref="E33:E40 E31 E26:E29 E24"/>
    </sheetView>
  </sheetViews>
  <sheetFormatPr defaultRowHeight="14"/>
  <cols>
    <col min="1" max="1" width="40.08203125" bestFit="1" customWidth="1"/>
    <col min="7" max="7" width="42.83203125" customWidth="1"/>
    <col min="8" max="8" width="41.33203125" bestFit="1" customWidth="1"/>
  </cols>
  <sheetData>
    <row r="1" spans="1:7" ht="20">
      <c r="A1" s="75" t="s">
        <v>1120</v>
      </c>
    </row>
    <row r="4" spans="1:7">
      <c r="B4" s="64" t="s">
        <v>1121</v>
      </c>
      <c r="C4" s="64" t="s">
        <v>771</v>
      </c>
      <c r="D4" s="64" t="s">
        <v>772</v>
      </c>
      <c r="E4" s="64" t="s">
        <v>942</v>
      </c>
      <c r="F4" s="64" t="s">
        <v>943</v>
      </c>
    </row>
    <row r="5" spans="1:7">
      <c r="B5" s="64" t="s">
        <v>1122</v>
      </c>
      <c r="C5" s="64" t="s">
        <v>1122</v>
      </c>
      <c r="D5" s="64" t="s">
        <v>1122</v>
      </c>
      <c r="E5" s="64" t="s">
        <v>1122</v>
      </c>
      <c r="F5" s="64" t="s">
        <v>1122</v>
      </c>
    </row>
    <row r="7" spans="1:7" s="76" customFormat="1">
      <c r="A7" s="76" t="s">
        <v>1123</v>
      </c>
      <c r="B7" s="76">
        <v>-550000</v>
      </c>
      <c r="C7" s="76">
        <f>SUM(B47)</f>
        <v>-505360</v>
      </c>
      <c r="D7" s="76">
        <f t="shared" ref="D7:E7" si="0">SUM(C47)</f>
        <v>-382007</v>
      </c>
      <c r="E7" s="76">
        <f t="shared" si="0"/>
        <v>-409368</v>
      </c>
      <c r="F7" s="76">
        <f>SUM(E47)</f>
        <v>-449138</v>
      </c>
    </row>
    <row r="8" spans="1:7" s="76" customFormat="1"/>
    <row r="10" spans="1:7">
      <c r="A10" t="s">
        <v>1124</v>
      </c>
      <c r="B10">
        <v>5166000</v>
      </c>
      <c r="C10">
        <v>5166000</v>
      </c>
      <c r="D10">
        <v>5166000</v>
      </c>
      <c r="E10">
        <v>5166000</v>
      </c>
      <c r="F10">
        <v>5166000</v>
      </c>
      <c r="G10" t="s">
        <v>1125</v>
      </c>
    </row>
    <row r="11" spans="1:7">
      <c r="A11" t="s">
        <v>1126</v>
      </c>
      <c r="B11">
        <v>138998</v>
      </c>
      <c r="C11">
        <v>138998</v>
      </c>
      <c r="D11">
        <v>138998</v>
      </c>
      <c r="E11">
        <v>138998</v>
      </c>
      <c r="F11">
        <v>138998</v>
      </c>
    </row>
    <row r="12" spans="1:7">
      <c r="A12" t="s">
        <v>1127</v>
      </c>
      <c r="B12">
        <v>10500</v>
      </c>
      <c r="C12">
        <v>10500</v>
      </c>
      <c r="D12">
        <v>10500</v>
      </c>
      <c r="E12">
        <v>10500</v>
      </c>
      <c r="F12">
        <v>10500</v>
      </c>
    </row>
    <row r="13" spans="1:7">
      <c r="A13" t="s">
        <v>1128</v>
      </c>
      <c r="B13">
        <v>2100</v>
      </c>
      <c r="C13">
        <v>2100</v>
      </c>
      <c r="D13">
        <v>2100</v>
      </c>
      <c r="E13">
        <v>2100</v>
      </c>
      <c r="F13">
        <v>2100</v>
      </c>
      <c r="G13" t="s">
        <v>1129</v>
      </c>
    </row>
    <row r="14" spans="1:7">
      <c r="A14" t="s">
        <v>1130</v>
      </c>
      <c r="B14">
        <v>28295</v>
      </c>
      <c r="C14">
        <v>28295</v>
      </c>
      <c r="D14">
        <v>28295</v>
      </c>
      <c r="E14">
        <v>28295</v>
      </c>
      <c r="F14">
        <v>28295</v>
      </c>
    </row>
    <row r="15" spans="1:7">
      <c r="A15" t="s">
        <v>1131</v>
      </c>
      <c r="C15">
        <v>234567</v>
      </c>
      <c r="D15">
        <v>239258</v>
      </c>
      <c r="E15">
        <v>244043</v>
      </c>
      <c r="F15">
        <v>248923</v>
      </c>
      <c r="G15" t="s">
        <v>1132</v>
      </c>
    </row>
    <row r="16" spans="1:7">
      <c r="A16" t="s">
        <v>1133</v>
      </c>
      <c r="B16">
        <v>30000</v>
      </c>
    </row>
    <row r="17" spans="1:7">
      <c r="D17">
        <v>68777</v>
      </c>
      <c r="E17">
        <v>68777</v>
      </c>
      <c r="F17">
        <v>137554</v>
      </c>
      <c r="G17" t="s">
        <v>1134</v>
      </c>
    </row>
    <row r="18" spans="1:7">
      <c r="A18" s="76" t="s">
        <v>1135</v>
      </c>
      <c r="B18" s="77">
        <f>SUM(B10:B16)</f>
        <v>5375893</v>
      </c>
      <c r="C18" s="77">
        <f>SUM(C10:C15)</f>
        <v>5580460</v>
      </c>
      <c r="D18" s="77">
        <f>SUM(D10:D15)</f>
        <v>5585151</v>
      </c>
      <c r="E18" s="77">
        <f>SUM(E10:E15)</f>
        <v>5589936</v>
      </c>
      <c r="F18" s="77">
        <f>SUM(F10:F15)</f>
        <v>5594816</v>
      </c>
    </row>
    <row r="20" spans="1:7">
      <c r="A20" t="s">
        <v>1136</v>
      </c>
      <c r="B20">
        <v>575729</v>
      </c>
      <c r="C20">
        <v>593345</v>
      </c>
      <c r="D20">
        <v>606364</v>
      </c>
      <c r="E20">
        <v>613804</v>
      </c>
      <c r="F20">
        <v>620081</v>
      </c>
    </row>
    <row r="21" spans="1:7">
      <c r="A21" s="78" t="s">
        <v>1137</v>
      </c>
      <c r="B21" s="78">
        <v>200000</v>
      </c>
      <c r="C21" s="78">
        <v>0</v>
      </c>
      <c r="D21" s="78">
        <v>0</v>
      </c>
      <c r="E21" s="78">
        <v>0</v>
      </c>
      <c r="F21" s="78">
        <v>0</v>
      </c>
      <c r="G21" s="79" t="s">
        <v>1138</v>
      </c>
    </row>
    <row r="22" spans="1:7">
      <c r="A22" s="78" t="s">
        <v>1139</v>
      </c>
      <c r="B22" s="78">
        <v>10500</v>
      </c>
      <c r="C22" s="78">
        <v>10500</v>
      </c>
      <c r="D22" s="78">
        <v>10500</v>
      </c>
      <c r="E22" s="78">
        <v>10500</v>
      </c>
      <c r="F22" s="78">
        <v>10500</v>
      </c>
      <c r="G22" s="79"/>
    </row>
    <row r="23" spans="1:7">
      <c r="A23" t="s">
        <v>1140</v>
      </c>
      <c r="B23">
        <v>1671230</v>
      </c>
      <c r="C23">
        <v>1909514</v>
      </c>
      <c r="D23">
        <v>2005628</v>
      </c>
      <c r="E23">
        <v>1975971</v>
      </c>
      <c r="F23">
        <v>2074412</v>
      </c>
    </row>
    <row r="24" spans="1:7">
      <c r="A24" t="s">
        <v>1141</v>
      </c>
      <c r="B24">
        <v>10000</v>
      </c>
      <c r="C24">
        <v>10000</v>
      </c>
      <c r="D24">
        <v>10000</v>
      </c>
      <c r="E24">
        <v>10000</v>
      </c>
      <c r="F24">
        <v>10000</v>
      </c>
    </row>
    <row r="25" spans="1:7">
      <c r="A25" t="s">
        <v>1142</v>
      </c>
      <c r="B25">
        <v>14148</v>
      </c>
      <c r="C25">
        <v>14148</v>
      </c>
      <c r="D25">
        <v>14148</v>
      </c>
      <c r="E25">
        <v>14148</v>
      </c>
      <c r="F25">
        <v>14148</v>
      </c>
    </row>
    <row r="26" spans="1:7">
      <c r="A26" t="s">
        <v>1143</v>
      </c>
      <c r="B26">
        <v>40250</v>
      </c>
      <c r="C26">
        <v>40250</v>
      </c>
      <c r="D26">
        <v>40250</v>
      </c>
      <c r="E26">
        <v>40250</v>
      </c>
      <c r="F26">
        <v>40250</v>
      </c>
    </row>
    <row r="27" spans="1:7">
      <c r="A27" t="s">
        <v>1144</v>
      </c>
      <c r="B27">
        <v>11250</v>
      </c>
      <c r="C27">
        <v>11250</v>
      </c>
      <c r="D27">
        <v>11250</v>
      </c>
      <c r="E27">
        <v>11250</v>
      </c>
      <c r="F27">
        <v>11250</v>
      </c>
    </row>
    <row r="28" spans="1:7">
      <c r="A28" t="s">
        <v>1145</v>
      </c>
      <c r="B28">
        <v>207140</v>
      </c>
      <c r="C28">
        <v>206540</v>
      </c>
      <c r="D28">
        <v>207140</v>
      </c>
      <c r="E28">
        <v>210540</v>
      </c>
      <c r="F28">
        <v>210540</v>
      </c>
    </row>
    <row r="29" spans="1:7">
      <c r="A29" t="s">
        <v>1146</v>
      </c>
      <c r="B29">
        <v>100000</v>
      </c>
      <c r="C29">
        <v>100000</v>
      </c>
      <c r="D29">
        <v>100000</v>
      </c>
      <c r="E29">
        <v>100000</v>
      </c>
      <c r="F29">
        <v>100000</v>
      </c>
    </row>
    <row r="30" spans="1:7">
      <c r="A30" t="s">
        <v>1147</v>
      </c>
      <c r="B30">
        <v>1743795</v>
      </c>
      <c r="C30">
        <v>1983349</v>
      </c>
      <c r="D30">
        <v>2028421</v>
      </c>
      <c r="E30">
        <v>2061032</v>
      </c>
      <c r="F30">
        <v>2083521</v>
      </c>
    </row>
    <row r="31" spans="1:7">
      <c r="A31" t="s">
        <v>1148</v>
      </c>
      <c r="B31">
        <v>10000</v>
      </c>
      <c r="C31">
        <v>10000</v>
      </c>
      <c r="D31">
        <v>10000</v>
      </c>
      <c r="E31">
        <v>10000</v>
      </c>
      <c r="F31">
        <v>10000</v>
      </c>
    </row>
    <row r="32" spans="1:7">
      <c r="A32" t="s">
        <v>1149</v>
      </c>
      <c r="B32">
        <v>14148</v>
      </c>
      <c r="C32">
        <v>14148</v>
      </c>
      <c r="D32">
        <v>14148</v>
      </c>
      <c r="E32">
        <v>14148</v>
      </c>
      <c r="F32">
        <v>14148</v>
      </c>
    </row>
    <row r="33" spans="1:7">
      <c r="A33" t="s">
        <v>1150</v>
      </c>
      <c r="B33">
        <v>40250</v>
      </c>
      <c r="C33">
        <v>40250</v>
      </c>
      <c r="D33">
        <v>40250</v>
      </c>
      <c r="E33">
        <v>40250</v>
      </c>
      <c r="F33">
        <v>40250</v>
      </c>
    </row>
    <row r="34" spans="1:7">
      <c r="A34" t="s">
        <v>1151</v>
      </c>
      <c r="B34">
        <v>11250</v>
      </c>
      <c r="C34">
        <v>11250</v>
      </c>
      <c r="D34">
        <v>11250</v>
      </c>
      <c r="E34">
        <v>11250</v>
      </c>
      <c r="F34">
        <v>11250</v>
      </c>
    </row>
    <row r="35" spans="1:7">
      <c r="A35" t="s">
        <v>1152</v>
      </c>
      <c r="B35">
        <v>207140</v>
      </c>
      <c r="C35">
        <v>206540</v>
      </c>
      <c r="D35">
        <v>207140</v>
      </c>
      <c r="E35">
        <v>210540</v>
      </c>
      <c r="F35">
        <v>210540</v>
      </c>
    </row>
    <row r="36" spans="1:7">
      <c r="A36" t="s">
        <v>1153</v>
      </c>
      <c r="B36">
        <v>100000</v>
      </c>
      <c r="C36">
        <v>100000</v>
      </c>
      <c r="D36">
        <v>100000</v>
      </c>
      <c r="E36">
        <v>100000</v>
      </c>
      <c r="F36">
        <v>100000</v>
      </c>
    </row>
    <row r="37" spans="1:7">
      <c r="A37" t="s">
        <v>1154</v>
      </c>
      <c r="B37">
        <v>155000</v>
      </c>
      <c r="C37">
        <v>0</v>
      </c>
      <c r="D37">
        <v>0</v>
      </c>
      <c r="E37">
        <v>0</v>
      </c>
      <c r="F37">
        <v>0</v>
      </c>
    </row>
    <row r="38" spans="1:7">
      <c r="A38" t="s">
        <v>1155</v>
      </c>
      <c r="B38">
        <v>126000</v>
      </c>
      <c r="C38">
        <v>126000</v>
      </c>
      <c r="D38">
        <v>126000</v>
      </c>
      <c r="E38">
        <v>126000</v>
      </c>
      <c r="F38">
        <v>126000</v>
      </c>
    </row>
    <row r="39" spans="1:7">
      <c r="A39" t="s">
        <v>1156</v>
      </c>
      <c r="B39">
        <v>74000</v>
      </c>
      <c r="C39">
        <v>60600</v>
      </c>
      <c r="D39">
        <v>60600</v>
      </c>
      <c r="E39">
        <v>60600</v>
      </c>
      <c r="F39">
        <v>60600</v>
      </c>
    </row>
    <row r="40" spans="1:7">
      <c r="A40" t="s">
        <v>1157</v>
      </c>
      <c r="B40">
        <v>9423</v>
      </c>
      <c r="C40">
        <v>9423</v>
      </c>
      <c r="D40">
        <v>9423</v>
      </c>
      <c r="E40">
        <v>9423</v>
      </c>
      <c r="F40">
        <v>9423</v>
      </c>
    </row>
    <row r="41" spans="1:7">
      <c r="A41" t="s">
        <v>1158</v>
      </c>
      <c r="B41">
        <v>0</v>
      </c>
      <c r="G41" t="s">
        <v>1159</v>
      </c>
    </row>
    <row r="43" spans="1:7">
      <c r="A43" s="76" t="s">
        <v>1160</v>
      </c>
      <c r="B43" s="77">
        <f>SUM(B20:B42)</f>
        <v>5331253</v>
      </c>
      <c r="C43" s="77">
        <f>SUM(C20:C42)</f>
        <v>5457107</v>
      </c>
      <c r="D43" s="77">
        <f>SUM(D20:D42)</f>
        <v>5612512</v>
      </c>
      <c r="E43" s="77">
        <f>SUM(E20:E42)</f>
        <v>5629706</v>
      </c>
      <c r="F43" s="77">
        <f>SUM(F20:F42)</f>
        <v>5756913</v>
      </c>
    </row>
    <row r="45" spans="1:7">
      <c r="A45" s="76" t="s">
        <v>1161</v>
      </c>
      <c r="B45" s="76">
        <f>SUM(B18-B43)</f>
        <v>44640</v>
      </c>
      <c r="C45" s="76">
        <f>SUM(C18-C43)</f>
        <v>123353</v>
      </c>
      <c r="D45" s="76">
        <f>SUM(D18-D43)</f>
        <v>-27361</v>
      </c>
      <c r="E45" s="76">
        <f>SUM(E18-E43)</f>
        <v>-39770</v>
      </c>
      <c r="F45" s="76">
        <f>SUM(F18-F43)</f>
        <v>-162097</v>
      </c>
    </row>
    <row r="47" spans="1:7">
      <c r="A47" s="76" t="s">
        <v>1162</v>
      </c>
      <c r="B47" s="76">
        <f>SUM(B7+B45)</f>
        <v>-505360</v>
      </c>
      <c r="C47" s="76">
        <f>SUM(C7+C45)</f>
        <v>-382007</v>
      </c>
      <c r="D47" s="76">
        <f>SUM(D7+D45)</f>
        <v>-409368</v>
      </c>
      <c r="E47" s="76">
        <f>SUM(E7+E45)</f>
        <v>-449138</v>
      </c>
      <c r="F47" s="76">
        <f>SUM(F7+F45)</f>
        <v>-611235</v>
      </c>
    </row>
  </sheetData>
  <pageMargins left="0.70866141732283472" right="0.70866141732283472" top="0.74803149606299213" bottom="0.74803149606299213" header="0.31496062992125984" footer="0.31496062992125984"/>
  <pageSetup paperSize="9" scale="70"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U42"/>
  <sheetViews>
    <sheetView topLeftCell="A4" workbookViewId="0">
      <selection activeCell="E26" sqref="E26"/>
    </sheetView>
  </sheetViews>
  <sheetFormatPr defaultColWidth="8" defaultRowHeight="12.5"/>
  <cols>
    <col min="1" max="1" width="9.83203125" style="252" customWidth="1"/>
    <col min="2" max="2" width="18.08203125" style="253" customWidth="1"/>
    <col min="3" max="3" width="54" style="252" customWidth="1"/>
    <col min="4" max="4" width="8" style="252"/>
    <col min="5" max="7" width="13.75" style="253" customWidth="1"/>
    <col min="8" max="8" width="10.08203125" style="253" customWidth="1"/>
    <col min="9" max="16384" width="8" style="252"/>
  </cols>
  <sheetData>
    <row r="1" spans="1:19" ht="12.75" customHeight="1"/>
    <row r="2" spans="1:19">
      <c r="A2" s="254" t="s">
        <v>707</v>
      </c>
      <c r="G2" s="252"/>
      <c r="H2" s="252"/>
    </row>
    <row r="3" spans="1:19" ht="50.5">
      <c r="B3" s="255" t="s">
        <v>683</v>
      </c>
      <c r="C3" s="255" t="s">
        <v>163</v>
      </c>
      <c r="E3" s="256" t="s">
        <v>710</v>
      </c>
      <c r="F3" s="256" t="s">
        <v>711</v>
      </c>
      <c r="G3" s="256" t="s">
        <v>712</v>
      </c>
      <c r="H3" s="257" t="s">
        <v>1163</v>
      </c>
      <c r="K3" s="259" t="s">
        <v>731</v>
      </c>
      <c r="L3" s="259" t="s">
        <v>728</v>
      </c>
      <c r="M3" s="260" t="s">
        <v>720</v>
      </c>
      <c r="N3" s="253" t="s">
        <v>77</v>
      </c>
      <c r="O3" s="258" t="s">
        <v>721</v>
      </c>
      <c r="P3" s="258"/>
      <c r="Q3" s="258" t="s">
        <v>1164</v>
      </c>
      <c r="R3" s="258" t="s">
        <v>1165</v>
      </c>
    </row>
    <row r="4" spans="1:19">
      <c r="K4" s="262"/>
      <c r="L4" s="262"/>
      <c r="M4" s="262"/>
      <c r="N4" s="261"/>
      <c r="O4" s="261"/>
    </row>
    <row r="5" spans="1:19">
      <c r="A5" s="252" t="s">
        <v>695</v>
      </c>
      <c r="B5" s="253" t="s">
        <v>696</v>
      </c>
      <c r="C5" s="252" t="s">
        <v>741</v>
      </c>
      <c r="E5" s="261">
        <v>5389.75</v>
      </c>
      <c r="F5" s="261">
        <v>8314.3681768558963</v>
      </c>
      <c r="G5" s="261">
        <v>300.11777569980694</v>
      </c>
      <c r="H5" s="263">
        <v>14004.235952555704</v>
      </c>
      <c r="J5" s="264"/>
      <c r="K5" s="262">
        <v>6120.2340168749997</v>
      </c>
      <c r="L5" s="262">
        <v>8578.5707014192139</v>
      </c>
      <c r="M5" s="262">
        <f>G5</f>
        <v>300.11777569980694</v>
      </c>
      <c r="N5" s="261">
        <f>SUM(K5:M5)</f>
        <v>14998.922493994021</v>
      </c>
      <c r="O5" s="261">
        <f>N5-H5</f>
        <v>994.68654143831736</v>
      </c>
      <c r="P5" s="265"/>
      <c r="Q5" s="513">
        <f>K5-E5</f>
        <v>730.48401687499972</v>
      </c>
      <c r="R5" s="261"/>
      <c r="S5" s="264"/>
    </row>
    <row r="6" spans="1:19">
      <c r="E6" s="261"/>
      <c r="H6" s="261"/>
      <c r="J6" s="264"/>
      <c r="K6" s="262"/>
      <c r="L6" s="260"/>
      <c r="M6" s="262"/>
      <c r="N6" s="261"/>
      <c r="O6" s="261"/>
      <c r="P6" s="265"/>
      <c r="Q6" s="513"/>
      <c r="R6" s="261"/>
      <c r="S6" s="264"/>
    </row>
    <row r="7" spans="1:19">
      <c r="E7" s="261"/>
      <c r="F7" s="261"/>
      <c r="G7" s="261"/>
      <c r="H7" s="261"/>
      <c r="J7" s="264"/>
      <c r="K7" s="262"/>
      <c r="L7" s="262"/>
      <c r="M7" s="262"/>
      <c r="N7" s="261"/>
      <c r="O7" s="261"/>
      <c r="P7" s="265"/>
      <c r="Q7" s="513"/>
      <c r="R7" s="261"/>
      <c r="S7" s="264"/>
    </row>
    <row r="8" spans="1:19">
      <c r="A8" s="252" t="s">
        <v>691</v>
      </c>
      <c r="B8" s="253" t="s">
        <v>692</v>
      </c>
      <c r="C8" s="252" t="s">
        <v>742</v>
      </c>
      <c r="E8" s="261">
        <v>4311.8</v>
      </c>
      <c r="F8" s="261">
        <v>2217.1648471615722</v>
      </c>
      <c r="G8" s="261">
        <v>300.11777569980694</v>
      </c>
      <c r="H8" s="263">
        <v>6829.0826228613796</v>
      </c>
      <c r="J8" s="264"/>
      <c r="K8" s="262">
        <v>4896.1872134999994</v>
      </c>
      <c r="L8" s="262">
        <v>2287.6188537117905</v>
      </c>
      <c r="M8" s="262">
        <f>G8</f>
        <v>300.11777569980694</v>
      </c>
      <c r="N8" s="261">
        <f>SUM(K8:M8)</f>
        <v>7483.9238429115967</v>
      </c>
      <c r="O8" s="261">
        <f>N8-H8</f>
        <v>654.84122005021709</v>
      </c>
      <c r="P8" s="265"/>
      <c r="Q8" s="513">
        <f t="shared" ref="Q8:Q22" si="0">K8-E8</f>
        <v>584.38721349999923</v>
      </c>
      <c r="R8" s="261"/>
      <c r="S8" s="264"/>
    </row>
    <row r="9" spans="1:19">
      <c r="E9" s="261"/>
      <c r="F9" s="261"/>
      <c r="G9" s="261"/>
      <c r="H9" s="261"/>
      <c r="J9" s="264"/>
      <c r="K9" s="262"/>
      <c r="L9" s="262"/>
      <c r="M9" s="262"/>
      <c r="N9" s="261"/>
      <c r="O9" s="261"/>
      <c r="P9" s="265"/>
      <c r="Q9" s="513"/>
      <c r="R9" s="261"/>
      <c r="S9" s="264"/>
    </row>
    <row r="10" spans="1:19">
      <c r="E10" s="261"/>
      <c r="F10" s="261"/>
      <c r="G10" s="261"/>
      <c r="H10" s="261"/>
      <c r="J10" s="264"/>
      <c r="K10" s="262"/>
      <c r="L10" s="262"/>
      <c r="M10" s="262"/>
      <c r="N10" s="261"/>
      <c r="O10" s="261"/>
      <c r="P10" s="265"/>
      <c r="Q10" s="513"/>
      <c r="R10" s="261"/>
      <c r="S10" s="264"/>
    </row>
    <row r="11" spans="1:19">
      <c r="A11" s="252" t="s">
        <v>689</v>
      </c>
      <c r="B11" s="253" t="s">
        <v>690</v>
      </c>
      <c r="C11" s="252" t="s">
        <v>743</v>
      </c>
      <c r="D11" s="264"/>
      <c r="E11" s="261">
        <v>3593.1666666666665</v>
      </c>
      <c r="F11" s="261">
        <v>1847.6373726346435</v>
      </c>
      <c r="G11" s="261">
        <v>300.11777569980694</v>
      </c>
      <c r="H11" s="263">
        <v>5740.9218150011166</v>
      </c>
      <c r="J11" s="264"/>
      <c r="K11" s="262">
        <v>4080.1560112499997</v>
      </c>
      <c r="L11" s="262">
        <v>1906.3490447598253</v>
      </c>
      <c r="M11" s="262">
        <f>G11</f>
        <v>300.11777569980694</v>
      </c>
      <c r="N11" s="261">
        <f>SUM(K11:M11)</f>
        <v>6286.622831709632</v>
      </c>
      <c r="O11" s="261">
        <f>N11-H11</f>
        <v>545.70101670851545</v>
      </c>
      <c r="P11" s="265"/>
      <c r="Q11" s="513">
        <f t="shared" si="0"/>
        <v>486.98934458333315</v>
      </c>
      <c r="R11" s="261"/>
      <c r="S11" s="264"/>
    </row>
    <row r="12" spans="1:19">
      <c r="E12" s="261"/>
      <c r="F12" s="261"/>
      <c r="G12" s="261"/>
      <c r="H12" s="261"/>
      <c r="J12" s="264"/>
      <c r="K12" s="262"/>
      <c r="L12" s="262"/>
      <c r="M12" s="262"/>
      <c r="N12" s="261"/>
      <c r="O12" s="261"/>
      <c r="P12" s="265"/>
      <c r="Q12" s="513"/>
      <c r="R12" s="261"/>
      <c r="S12" s="264"/>
    </row>
    <row r="13" spans="1:19">
      <c r="E13" s="261"/>
      <c r="F13" s="261"/>
      <c r="G13" s="261"/>
      <c r="H13" s="261"/>
      <c r="J13" s="264"/>
      <c r="K13" s="262"/>
      <c r="L13" s="262"/>
      <c r="M13" s="262"/>
      <c r="N13" s="261"/>
      <c r="O13" s="261"/>
      <c r="P13" s="265"/>
      <c r="Q13" s="513"/>
      <c r="R13" s="261"/>
      <c r="S13" s="264"/>
    </row>
    <row r="14" spans="1:19">
      <c r="A14" s="252" t="s">
        <v>697</v>
      </c>
      <c r="B14" s="253" t="s">
        <v>696</v>
      </c>
      <c r="C14" s="252" t="s">
        <v>741</v>
      </c>
      <c r="E14" s="261">
        <v>5389.75</v>
      </c>
      <c r="F14" s="261">
        <v>8314.3681768558963</v>
      </c>
      <c r="G14" s="261">
        <v>300.11777569980694</v>
      </c>
      <c r="H14" s="263">
        <v>14004.235952555704</v>
      </c>
      <c r="J14" s="264"/>
      <c r="K14" s="262">
        <v>6120.2340168749997</v>
      </c>
      <c r="L14" s="262">
        <v>8578.5707014192139</v>
      </c>
      <c r="M14" s="262">
        <f>G14</f>
        <v>300.11777569980694</v>
      </c>
      <c r="N14" s="261">
        <f>SUM(K14:M14)</f>
        <v>14998.922493994021</v>
      </c>
      <c r="O14" s="261">
        <f>N14-H14</f>
        <v>994.68654143831736</v>
      </c>
      <c r="P14" s="265"/>
      <c r="Q14" s="513">
        <f t="shared" si="0"/>
        <v>730.48401687499972</v>
      </c>
      <c r="R14" s="261"/>
      <c r="S14" s="264"/>
    </row>
    <row r="15" spans="1:19">
      <c r="E15" s="261"/>
      <c r="F15" s="261"/>
      <c r="G15" s="261"/>
      <c r="H15" s="261"/>
      <c r="J15" s="264"/>
      <c r="K15" s="262"/>
      <c r="L15" s="262"/>
      <c r="M15" s="262"/>
      <c r="N15" s="261"/>
      <c r="O15" s="261"/>
      <c r="P15" s="265"/>
      <c r="Q15" s="513"/>
      <c r="R15" s="261"/>
      <c r="S15" s="264"/>
    </row>
    <row r="16" spans="1:19">
      <c r="E16" s="261"/>
      <c r="F16" s="261"/>
      <c r="G16" s="261"/>
      <c r="H16" s="261"/>
      <c r="J16" s="264"/>
      <c r="K16" s="262"/>
      <c r="L16" s="262"/>
      <c r="M16" s="262"/>
      <c r="N16" s="261"/>
      <c r="O16" s="261"/>
      <c r="P16" s="265"/>
      <c r="Q16" s="513"/>
      <c r="R16" s="261"/>
      <c r="S16" s="264"/>
    </row>
    <row r="17" spans="1:21">
      <c r="A17" s="252" t="s">
        <v>693</v>
      </c>
      <c r="B17" s="253" t="s">
        <v>744</v>
      </c>
      <c r="C17" s="252" t="s">
        <v>745</v>
      </c>
      <c r="E17" s="261">
        <v>4311.8</v>
      </c>
      <c r="F17" s="261">
        <v>6651.494541484717</v>
      </c>
      <c r="G17" s="261">
        <v>300.11777569980694</v>
      </c>
      <c r="H17" s="263">
        <v>11263.412317184524</v>
      </c>
      <c r="J17" s="264"/>
      <c r="K17" s="262">
        <v>4896.1872134999994</v>
      </c>
      <c r="L17" s="262">
        <v>6862.8565611353715</v>
      </c>
      <c r="M17" s="262">
        <f>G17</f>
        <v>300.11777569980694</v>
      </c>
      <c r="N17" s="261">
        <f>SUM(K17:M17)</f>
        <v>12059.161550335179</v>
      </c>
      <c r="O17" s="261">
        <f>N17-H17</f>
        <v>795.74923315065462</v>
      </c>
      <c r="P17" s="265"/>
      <c r="Q17" s="513">
        <f t="shared" si="0"/>
        <v>584.38721349999923</v>
      </c>
      <c r="R17" s="261">
        <f>L17-F17</f>
        <v>211.36201965065447</v>
      </c>
      <c r="S17" s="264"/>
    </row>
    <row r="18" spans="1:21">
      <c r="K18" s="260"/>
      <c r="L18" s="260"/>
      <c r="M18" s="262"/>
      <c r="N18" s="261"/>
      <c r="O18" s="253"/>
      <c r="Q18" s="513"/>
      <c r="R18" s="261"/>
      <c r="S18" s="264"/>
    </row>
    <row r="19" spans="1:21">
      <c r="K19" s="260"/>
      <c r="L19" s="260"/>
      <c r="M19" s="262"/>
      <c r="N19" s="261"/>
      <c r="O19" s="253"/>
      <c r="Q19" s="513"/>
      <c r="R19" s="261"/>
      <c r="S19" s="264"/>
    </row>
    <row r="20" spans="1:21" ht="25">
      <c r="A20" s="252" t="s">
        <v>746</v>
      </c>
      <c r="C20" s="266" t="s">
        <v>747</v>
      </c>
      <c r="E20" s="261">
        <v>0</v>
      </c>
      <c r="F20" s="261">
        <v>0</v>
      </c>
      <c r="G20" s="261">
        <v>0</v>
      </c>
      <c r="H20" s="263">
        <v>2635</v>
      </c>
      <c r="K20" s="260"/>
      <c r="L20" s="260"/>
      <c r="M20" s="262">
        <v>2635</v>
      </c>
      <c r="N20" s="261">
        <f t="shared" ref="N20" si="1">SUM(K20:M20)</f>
        <v>2635</v>
      </c>
      <c r="O20" s="253"/>
      <c r="Q20" s="513"/>
      <c r="R20" s="261"/>
      <c r="S20" s="264"/>
    </row>
    <row r="21" spans="1:21">
      <c r="C21" s="254"/>
      <c r="E21" s="261"/>
      <c r="F21" s="261"/>
      <c r="G21" s="261"/>
      <c r="H21" s="261"/>
      <c r="K21" s="260"/>
      <c r="L21" s="260"/>
      <c r="M21" s="262"/>
      <c r="N21" s="261"/>
      <c r="O21" s="253"/>
      <c r="Q21" s="513"/>
      <c r="R21" s="261"/>
      <c r="S21" s="264"/>
    </row>
    <row r="22" spans="1:21">
      <c r="A22" s="252" t="s">
        <v>698</v>
      </c>
      <c r="B22" s="253" t="s">
        <v>696</v>
      </c>
      <c r="C22" s="252" t="s">
        <v>749</v>
      </c>
      <c r="E22" s="261">
        <v>7186.333333333333</v>
      </c>
      <c r="F22" s="261">
        <v>7390.549490538574</v>
      </c>
      <c r="G22" s="261">
        <v>300.11777569980694</v>
      </c>
      <c r="H22" s="263">
        <v>14877.000599571715</v>
      </c>
      <c r="K22" s="262">
        <v>8160.3120224999993</v>
      </c>
      <c r="L22" s="262">
        <v>7625.3961790393014</v>
      </c>
      <c r="M22" s="262">
        <f>G22</f>
        <v>300.11777569980694</v>
      </c>
      <c r="N22" s="261">
        <f>SUM(K22:M22)</f>
        <v>16085.825977239108</v>
      </c>
      <c r="O22" s="253"/>
      <c r="Q22" s="513">
        <f t="shared" si="0"/>
        <v>973.9786891666663</v>
      </c>
      <c r="R22" s="261"/>
      <c r="S22" s="264"/>
    </row>
    <row r="23" spans="1:21">
      <c r="E23" s="261"/>
      <c r="F23" s="261"/>
      <c r="G23" s="261"/>
      <c r="H23" s="261"/>
      <c r="K23" s="262"/>
      <c r="L23" s="260"/>
      <c r="M23" s="262"/>
      <c r="N23" s="261"/>
      <c r="O23" s="253"/>
      <c r="Q23" s="513"/>
      <c r="R23" s="261"/>
      <c r="S23" s="264"/>
    </row>
    <row r="24" spans="1:21">
      <c r="A24" s="252" t="s">
        <v>699</v>
      </c>
      <c r="B24" s="253" t="s">
        <v>700</v>
      </c>
      <c r="C24" s="252" t="s">
        <v>750</v>
      </c>
      <c r="E24" s="261">
        <v>0</v>
      </c>
      <c r="F24" s="261">
        <v>22512.750755794426</v>
      </c>
      <c r="G24" s="261">
        <v>0</v>
      </c>
      <c r="H24" s="263">
        <v>22512.750755794426</v>
      </c>
      <c r="K24" s="262"/>
      <c r="L24" s="262">
        <v>22876.188537117905</v>
      </c>
      <c r="M24" s="262">
        <f>G24</f>
        <v>0</v>
      </c>
      <c r="N24" s="261">
        <f>SUM(K24:M24)</f>
        <v>22876.188537117905</v>
      </c>
      <c r="O24" s="253"/>
      <c r="Q24" s="513"/>
      <c r="R24" s="261"/>
      <c r="S24" s="264"/>
    </row>
    <row r="25" spans="1:21">
      <c r="G25" s="252"/>
      <c r="H25" s="252"/>
      <c r="K25" s="262"/>
      <c r="L25" s="262"/>
      <c r="M25" s="262"/>
      <c r="N25" s="261"/>
      <c r="Q25" s="513"/>
    </row>
    <row r="26" spans="1:21">
      <c r="A26" s="603" t="s">
        <v>127</v>
      </c>
      <c r="B26" s="253" t="s">
        <v>703</v>
      </c>
      <c r="C26" s="252" t="s">
        <v>752</v>
      </c>
      <c r="E26" s="261">
        <v>5046.875</v>
      </c>
      <c r="F26" s="261">
        <v>5542.9121179039303</v>
      </c>
      <c r="G26" s="261">
        <v>300.11777569980694</v>
      </c>
      <c r="H26" s="261">
        <v>10889.904893603738</v>
      </c>
      <c r="K26" s="262">
        <f>('2122 Teachers Pay Scales'!K153+1100)/8</f>
        <v>5730.1090168749997</v>
      </c>
      <c r="L26" s="262">
        <f>('2122 TA Pay Scales'!L40+490)/8*2</f>
        <v>5719.0471342794763</v>
      </c>
      <c r="M26" s="262">
        <f>G26</f>
        <v>300.11777569980694</v>
      </c>
      <c r="N26" s="261">
        <f t="shared" ref="N26" si="2">SUM(K26:M26)</f>
        <v>11749.273926854283</v>
      </c>
      <c r="Q26" s="513">
        <f>K26-E26</f>
        <v>683.23401687499972</v>
      </c>
      <c r="R26" s="261">
        <f>L26-F26</f>
        <v>176.135016375546</v>
      </c>
    </row>
    <row r="27" spans="1:21">
      <c r="G27" s="252"/>
      <c r="H27" s="252"/>
      <c r="U27" s="261"/>
    </row>
    <row r="29" spans="1:21">
      <c r="A29" s="252" t="s">
        <v>1166</v>
      </c>
      <c r="B29" s="253" t="s">
        <v>696</v>
      </c>
      <c r="C29" s="252" t="s">
        <v>749</v>
      </c>
    </row>
    <row r="32" spans="1:21">
      <c r="A32" s="252" t="s">
        <v>1166</v>
      </c>
      <c r="B32" s="253" t="s">
        <v>696</v>
      </c>
      <c r="C32" s="252" t="s">
        <v>749</v>
      </c>
    </row>
    <row r="33" spans="1:8">
      <c r="E33" s="252"/>
      <c r="F33" s="252"/>
      <c r="G33" s="252"/>
      <c r="H33" s="252"/>
    </row>
    <row r="34" spans="1:8">
      <c r="A34" s="252" t="s">
        <v>1167</v>
      </c>
      <c r="B34" s="253" t="s">
        <v>696</v>
      </c>
      <c r="C34" s="252" t="s">
        <v>741</v>
      </c>
      <c r="E34" s="252"/>
      <c r="F34" s="252"/>
      <c r="G34" s="252"/>
      <c r="H34" s="252"/>
    </row>
    <row r="35" spans="1:8">
      <c r="E35" s="252"/>
      <c r="F35" s="252"/>
      <c r="G35" s="252"/>
      <c r="H35" s="252"/>
    </row>
    <row r="36" spans="1:8">
      <c r="A36" s="252" t="s">
        <v>1168</v>
      </c>
      <c r="B36" s="253" t="s">
        <v>700</v>
      </c>
      <c r="C36" s="252" t="s">
        <v>750</v>
      </c>
      <c r="E36" s="252"/>
      <c r="F36" s="252"/>
      <c r="G36" s="252"/>
      <c r="H36" s="252"/>
    </row>
    <row r="37" spans="1:8">
      <c r="E37" s="252"/>
      <c r="F37" s="252"/>
      <c r="G37" s="252"/>
      <c r="H37" s="252"/>
    </row>
    <row r="38" spans="1:8">
      <c r="A38" s="252" t="s">
        <v>1167</v>
      </c>
      <c r="B38" s="253" t="s">
        <v>696</v>
      </c>
      <c r="C38" s="252" t="s">
        <v>741</v>
      </c>
      <c r="E38" s="252"/>
      <c r="F38" s="252"/>
      <c r="G38" s="252"/>
      <c r="H38" s="252"/>
    </row>
    <row r="39" spans="1:8">
      <c r="E39" s="252"/>
      <c r="F39" s="252"/>
      <c r="G39" s="252"/>
      <c r="H39" s="252"/>
    </row>
    <row r="40" spans="1:8">
      <c r="A40" s="252" t="s">
        <v>1166</v>
      </c>
      <c r="B40" s="253" t="s">
        <v>696</v>
      </c>
      <c r="C40" s="252" t="s">
        <v>749</v>
      </c>
      <c r="E40" s="252"/>
      <c r="F40" s="252"/>
      <c r="G40" s="252"/>
      <c r="H40" s="252"/>
    </row>
    <row r="41" spans="1:8">
      <c r="E41" s="252"/>
      <c r="F41" s="252"/>
      <c r="G41" s="252"/>
      <c r="H41" s="252"/>
    </row>
    <row r="42" spans="1:8">
      <c r="A42" s="252" t="s">
        <v>1167</v>
      </c>
      <c r="B42" s="253" t="s">
        <v>696</v>
      </c>
      <c r="C42" s="252" t="s">
        <v>741</v>
      </c>
      <c r="E42" s="252"/>
      <c r="F42" s="252"/>
      <c r="G42" s="252"/>
      <c r="H42" s="252"/>
    </row>
  </sheetData>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AB170"/>
  <sheetViews>
    <sheetView topLeftCell="A112" workbookViewId="0">
      <selection activeCell="E154" sqref="E154"/>
    </sheetView>
  </sheetViews>
  <sheetFormatPr defaultColWidth="7.25" defaultRowHeight="12.5"/>
  <cols>
    <col min="1" max="1" width="10" style="283" customWidth="1"/>
    <col min="2" max="2" width="8.33203125" style="283" customWidth="1"/>
    <col min="3" max="3" width="13" style="283" customWidth="1"/>
    <col min="4" max="4" width="7.75" style="283" customWidth="1"/>
    <col min="5" max="5" width="12" style="283" customWidth="1"/>
    <col min="6" max="6" width="3.58203125" style="283" customWidth="1"/>
    <col min="7" max="7" width="8.58203125" style="283" customWidth="1"/>
    <col min="8" max="8" width="3.33203125" style="283" customWidth="1"/>
    <col min="9" max="9" width="13.83203125" style="283" bestFit="1" customWidth="1"/>
    <col min="10" max="10" width="2.33203125" style="283" customWidth="1"/>
    <col min="11" max="11" width="9.08203125" style="283" customWidth="1"/>
    <col min="12" max="12" width="2" style="283" customWidth="1"/>
    <col min="13" max="13" width="9.08203125" style="283" customWidth="1"/>
    <col min="14" max="14" width="0.75" style="283" customWidth="1"/>
    <col min="15" max="15" width="1.25" style="283" customWidth="1"/>
    <col min="16" max="16" width="9.75" style="283" customWidth="1"/>
    <col min="17" max="17" width="2.5" style="283" customWidth="1"/>
    <col min="18" max="18" width="8.58203125" style="283" bestFit="1" customWidth="1"/>
    <col min="19" max="19" width="2" style="283" customWidth="1"/>
    <col min="20" max="20" width="8.25" style="283" customWidth="1"/>
    <col min="21" max="21" width="10.58203125" style="283" bestFit="1" customWidth="1"/>
    <col min="22" max="23" width="8.25" style="283" customWidth="1"/>
    <col min="24" max="26" width="7.25" style="283"/>
    <col min="27" max="27" width="7.5" style="283" bestFit="1" customWidth="1"/>
    <col min="28" max="16384" width="7.25" style="283"/>
  </cols>
  <sheetData>
    <row r="1" spans="1:28" s="272" customFormat="1" ht="39.65" customHeight="1" thickBot="1">
      <c r="A1" s="207" t="s">
        <v>980</v>
      </c>
      <c r="B1" s="267" t="s">
        <v>1169</v>
      </c>
      <c r="C1" s="268"/>
      <c r="D1" s="268"/>
      <c r="E1" s="268"/>
      <c r="F1" s="269"/>
      <c r="G1" s="268"/>
      <c r="H1" s="268"/>
      <c r="I1" s="268"/>
      <c r="J1" s="268"/>
      <c r="K1" s="268"/>
      <c r="L1" s="268"/>
      <c r="M1" s="268"/>
      <c r="N1" s="268"/>
      <c r="O1" s="268"/>
      <c r="P1" s="268"/>
      <c r="Q1" s="268"/>
      <c r="R1" s="270" t="s">
        <v>1170</v>
      </c>
      <c r="S1" s="271"/>
    </row>
    <row r="2" spans="1:28" s="272" customFormat="1" ht="12.65" customHeight="1">
      <c r="A2" s="207"/>
      <c r="B2" s="273"/>
      <c r="C2" s="273"/>
      <c r="D2" s="273"/>
      <c r="E2" s="273"/>
      <c r="F2" s="274"/>
      <c r="G2" s="273"/>
      <c r="H2" s="273"/>
      <c r="I2" s="273"/>
      <c r="J2" s="273"/>
      <c r="K2" s="273"/>
      <c r="L2" s="273"/>
      <c r="M2" s="273"/>
      <c r="N2" s="273"/>
      <c r="O2" s="273"/>
      <c r="P2" s="273"/>
      <c r="Q2" s="273"/>
      <c r="R2" s="273"/>
      <c r="S2" s="273"/>
      <c r="U2" s="275"/>
    </row>
    <row r="3" spans="1:28" s="272" customFormat="1" ht="64.900000000000006" customHeight="1">
      <c r="A3" s="207" t="s">
        <v>982</v>
      </c>
      <c r="B3" s="1160" t="s">
        <v>1171</v>
      </c>
      <c r="C3" s="1161"/>
      <c r="D3" s="1161"/>
      <c r="E3" s="1161"/>
      <c r="F3" s="1161"/>
      <c r="G3" s="1161"/>
      <c r="H3" s="1161"/>
      <c r="I3" s="1161"/>
      <c r="J3" s="1161"/>
      <c r="K3" s="1161"/>
      <c r="L3" s="1161"/>
      <c r="M3" s="1161"/>
      <c r="N3" s="1161"/>
      <c r="O3" s="1161"/>
      <c r="P3" s="1161"/>
      <c r="Q3" s="1161"/>
      <c r="R3" s="1161"/>
      <c r="S3" s="1161"/>
      <c r="U3" s="275"/>
    </row>
    <row r="4" spans="1:28" s="272" customFormat="1" ht="18.649999999999999" customHeight="1" thickBot="1">
      <c r="A4" s="207"/>
      <c r="B4" s="1161"/>
      <c r="C4" s="1161"/>
      <c r="D4" s="1161"/>
      <c r="E4" s="1161"/>
      <c r="F4" s="1161"/>
      <c r="G4" s="1161"/>
      <c r="H4" s="1161"/>
      <c r="I4" s="1161"/>
      <c r="J4" s="1161"/>
      <c r="K4" s="1161"/>
      <c r="L4" s="1161"/>
      <c r="M4" s="1161"/>
      <c r="N4" s="1161"/>
      <c r="O4" s="1161"/>
      <c r="P4" s="1161"/>
      <c r="Q4" s="1161"/>
      <c r="R4" s="1161"/>
      <c r="S4" s="1161"/>
      <c r="U4" s="275"/>
    </row>
    <row r="5" spans="1:28" s="7" customFormat="1" ht="16">
      <c r="A5" s="207" t="s">
        <v>989</v>
      </c>
      <c r="B5" s="1162" t="s">
        <v>1172</v>
      </c>
      <c r="C5" s="1162"/>
      <c r="D5" s="1162"/>
      <c r="E5" s="1162"/>
      <c r="F5" s="1162"/>
      <c r="G5" s="1162"/>
      <c r="H5" s="1162"/>
      <c r="I5" s="1162"/>
      <c r="J5" s="1162"/>
      <c r="K5" s="1162"/>
      <c r="L5" s="1162"/>
      <c r="M5" s="1162"/>
      <c r="N5" s="1162"/>
      <c r="O5" s="1162"/>
      <c r="P5" s="1163"/>
      <c r="Q5" s="1163"/>
      <c r="R5" s="1163"/>
      <c r="S5" s="1163"/>
      <c r="T5" s="207" t="s">
        <v>1002</v>
      </c>
      <c r="U5" s="276" t="s">
        <v>994</v>
      </c>
      <c r="V5" s="277">
        <v>1</v>
      </c>
      <c r="W5" s="278">
        <v>2</v>
      </c>
      <c r="Y5" s="279"/>
      <c r="Z5" s="280" t="s">
        <v>994</v>
      </c>
      <c r="AA5" s="281">
        <v>1</v>
      </c>
      <c r="AB5" s="282">
        <v>2</v>
      </c>
    </row>
    <row r="6" spans="1:28" ht="15.5">
      <c r="A6" s="207" t="s">
        <v>993</v>
      </c>
      <c r="B6" s="1164" t="s">
        <v>1173</v>
      </c>
      <c r="C6" s="1163"/>
      <c r="D6" s="1163"/>
      <c r="E6" s="1163"/>
      <c r="F6" s="1163"/>
      <c r="G6" s="1163"/>
      <c r="H6" s="1163"/>
      <c r="I6" s="1163"/>
      <c r="J6" s="1163"/>
      <c r="K6" s="1163"/>
      <c r="L6" s="1163"/>
      <c r="M6" s="1163"/>
      <c r="N6" s="1163"/>
      <c r="O6" s="1163"/>
      <c r="P6" s="1163"/>
      <c r="Q6" s="1163"/>
      <c r="R6" s="1163"/>
      <c r="S6" s="1163"/>
      <c r="U6" s="181">
        <v>0</v>
      </c>
      <c r="V6" s="182">
        <v>0</v>
      </c>
      <c r="W6" s="184">
        <v>0</v>
      </c>
      <c r="Y6" s="279"/>
      <c r="Z6" s="284">
        <v>0</v>
      </c>
      <c r="AA6" s="285">
        <v>0</v>
      </c>
      <c r="AB6" s="286">
        <v>0</v>
      </c>
    </row>
    <row r="7" spans="1:28" ht="16" thickBot="1">
      <c r="A7" s="207"/>
      <c r="B7" s="287"/>
      <c r="C7" s="207"/>
      <c r="D7" s="207"/>
      <c r="E7" s="207"/>
      <c r="F7" s="207"/>
      <c r="G7" s="207"/>
      <c r="H7" s="207"/>
      <c r="I7" s="207"/>
      <c r="J7" s="207"/>
      <c r="K7" s="207"/>
      <c r="L7" s="207"/>
      <c r="M7" s="207"/>
      <c r="N7" s="207"/>
      <c r="O7" s="207"/>
      <c r="P7" s="207"/>
      <c r="Q7" s="207"/>
      <c r="R7" s="207"/>
      <c r="S7" s="207"/>
      <c r="U7" s="181"/>
      <c r="V7" s="182"/>
      <c r="W7" s="184"/>
      <c r="Y7" s="279" t="s">
        <v>999</v>
      </c>
      <c r="Z7" s="284">
        <v>6240</v>
      </c>
      <c r="AA7" s="288">
        <v>0</v>
      </c>
      <c r="AB7" s="289">
        <v>0</v>
      </c>
    </row>
    <row r="8" spans="1:28" ht="15.5">
      <c r="A8" s="207" t="s">
        <v>1174</v>
      </c>
      <c r="B8" s="290"/>
      <c r="C8" s="291" t="s">
        <v>990</v>
      </c>
      <c r="D8" s="292"/>
      <c r="E8" s="291" t="s">
        <v>1175</v>
      </c>
      <c r="F8" s="292"/>
      <c r="G8" s="292"/>
      <c r="H8" s="292"/>
      <c r="I8" s="292"/>
      <c r="J8" s="292"/>
      <c r="K8" s="292"/>
      <c r="L8" s="292"/>
      <c r="M8" s="291" t="s">
        <v>1176</v>
      </c>
      <c r="N8" s="171"/>
      <c r="O8" s="171"/>
      <c r="P8" s="292"/>
      <c r="Q8" s="292"/>
      <c r="R8" s="292"/>
      <c r="S8" s="293"/>
      <c r="U8" s="181"/>
      <c r="V8" s="182"/>
      <c r="W8" s="184"/>
      <c r="Y8" s="294" t="s">
        <v>1000</v>
      </c>
      <c r="Z8" s="284">
        <v>8788</v>
      </c>
      <c r="AA8" s="288">
        <v>0</v>
      </c>
      <c r="AB8" s="289">
        <v>0</v>
      </c>
    </row>
    <row r="9" spans="1:28" ht="15.5">
      <c r="A9" s="207"/>
      <c r="B9" s="295"/>
      <c r="C9" s="296"/>
      <c r="D9" s="296"/>
      <c r="E9" s="297"/>
      <c r="F9" s="296"/>
      <c r="G9" s="296"/>
      <c r="H9" s="296"/>
      <c r="I9" s="296"/>
      <c r="J9" s="296"/>
      <c r="K9" s="296"/>
      <c r="L9" s="296"/>
      <c r="M9" s="296"/>
      <c r="N9" s="182"/>
      <c r="O9" s="296"/>
      <c r="P9" s="296"/>
      <c r="Q9" s="296"/>
      <c r="R9" s="296"/>
      <c r="S9" s="298"/>
      <c r="U9" s="181"/>
      <c r="V9" s="193"/>
      <c r="W9" s="194"/>
      <c r="Y9" s="299" t="s">
        <v>1177</v>
      </c>
      <c r="Z9" s="284">
        <v>50000</v>
      </c>
      <c r="AA9" s="288">
        <v>0</v>
      </c>
      <c r="AB9" s="289">
        <v>0.13800000000000001</v>
      </c>
    </row>
    <row r="10" spans="1:28" ht="16" thickBot="1">
      <c r="A10" s="207"/>
      <c r="B10" s="300" t="s">
        <v>1178</v>
      </c>
      <c r="C10" s="301"/>
      <c r="D10" s="301"/>
      <c r="E10" s="301"/>
      <c r="F10" s="302"/>
      <c r="G10" s="301"/>
      <c r="H10" s="302"/>
      <c r="I10" s="301"/>
      <c r="J10" s="302"/>
      <c r="K10" s="301"/>
      <c r="L10" s="302"/>
      <c r="M10" s="302"/>
      <c r="N10" s="302"/>
      <c r="O10" s="302"/>
      <c r="P10" s="302"/>
      <c r="Q10" s="302"/>
      <c r="R10" s="302"/>
      <c r="S10" s="303"/>
      <c r="U10" s="181"/>
      <c r="V10" s="193"/>
      <c r="W10" s="194"/>
      <c r="Y10" s="279"/>
      <c r="Z10" s="284"/>
      <c r="AA10" s="288"/>
      <c r="AB10" s="289"/>
    </row>
    <row r="11" spans="1:28" ht="16" thickBot="1">
      <c r="A11" s="207"/>
      <c r="B11" s="304"/>
      <c r="C11" s="305"/>
      <c r="D11" s="305"/>
      <c r="E11" s="305"/>
      <c r="F11" s="305"/>
      <c r="G11" s="305"/>
      <c r="H11" s="305"/>
      <c r="I11" s="305"/>
      <c r="J11" s="305"/>
      <c r="K11" s="305"/>
      <c r="L11" s="305"/>
      <c r="M11" s="305"/>
      <c r="N11" s="305"/>
      <c r="O11" s="305"/>
      <c r="P11" s="305"/>
      <c r="Q11" s="305"/>
      <c r="R11" s="305"/>
      <c r="S11" s="305"/>
      <c r="U11" s="181">
        <v>8788</v>
      </c>
      <c r="V11" s="193">
        <v>0</v>
      </c>
      <c r="W11" s="194">
        <v>0.13800000000000001</v>
      </c>
      <c r="Y11" s="279"/>
      <c r="Z11" s="306" t="s">
        <v>1005</v>
      </c>
      <c r="AA11" s="307">
        <v>0.23680000000000001</v>
      </c>
      <c r="AB11" s="308"/>
    </row>
    <row r="12" spans="1:28" ht="15.5">
      <c r="A12" s="207" t="s">
        <v>1179</v>
      </c>
      <c r="B12" s="217"/>
      <c r="C12" s="309"/>
      <c r="D12" s="309"/>
      <c r="E12" s="310" t="s">
        <v>1180</v>
      </c>
      <c r="F12" s="311"/>
      <c r="G12" s="310"/>
      <c r="H12" s="311"/>
      <c r="I12" s="310"/>
      <c r="J12" s="311"/>
      <c r="K12" s="310"/>
      <c r="L12" s="312"/>
      <c r="M12" s="313" t="s">
        <v>1181</v>
      </c>
      <c r="N12" s="314"/>
      <c r="O12" s="314"/>
      <c r="P12" s="314"/>
      <c r="Q12" s="314"/>
      <c r="R12" s="314"/>
      <c r="S12" s="223"/>
      <c r="U12" s="181"/>
      <c r="V12" s="193"/>
      <c r="W12" s="194"/>
    </row>
    <row r="13" spans="1:28" ht="16" thickBot="1">
      <c r="A13" s="207"/>
      <c r="B13" s="217"/>
      <c r="C13" s="315" t="s">
        <v>953</v>
      </c>
      <c r="D13" s="315" t="s">
        <v>1007</v>
      </c>
      <c r="E13" s="316" t="s">
        <v>1182</v>
      </c>
      <c r="F13" s="315"/>
      <c r="G13" s="317" t="s">
        <v>1009</v>
      </c>
      <c r="H13" s="315"/>
      <c r="I13" s="316" t="s">
        <v>1183</v>
      </c>
      <c r="J13" s="315"/>
      <c r="K13" s="316" t="s">
        <v>77</v>
      </c>
      <c r="L13" s="318"/>
      <c r="M13" s="319" t="s">
        <v>1182</v>
      </c>
      <c r="N13" s="315"/>
      <c r="O13" s="315"/>
      <c r="P13" s="317" t="s">
        <v>1009</v>
      </c>
      <c r="Q13" s="315"/>
      <c r="R13" s="320" t="s">
        <v>77</v>
      </c>
      <c r="S13" s="223"/>
      <c r="U13" s="321" t="s">
        <v>1005</v>
      </c>
      <c r="V13" s="211">
        <v>0.23680000000000001</v>
      </c>
      <c r="W13" s="203"/>
    </row>
    <row r="14" spans="1:28" ht="16" thickBot="1">
      <c r="A14" s="207"/>
      <c r="B14" s="322"/>
      <c r="C14" s="323"/>
      <c r="D14" s="323"/>
      <c r="E14" s="323"/>
      <c r="F14" s="323"/>
      <c r="G14" s="323"/>
      <c r="H14" s="323"/>
      <c r="I14" s="323"/>
      <c r="J14" s="323"/>
      <c r="K14" s="323"/>
      <c r="L14" s="323"/>
      <c r="M14" s="324"/>
      <c r="N14" s="323"/>
      <c r="O14" s="323"/>
      <c r="P14" s="323"/>
      <c r="Q14" s="323"/>
      <c r="R14" s="323"/>
      <c r="S14" s="242"/>
      <c r="U14" s="325"/>
      <c r="V14" s="326"/>
    </row>
    <row r="15" spans="1:28" ht="15.5">
      <c r="A15" s="207"/>
      <c r="B15" s="327"/>
      <c r="C15" s="328"/>
      <c r="D15" s="328"/>
      <c r="E15" s="328"/>
      <c r="F15" s="328"/>
      <c r="G15" s="328"/>
      <c r="H15" s="328"/>
      <c r="I15" s="328"/>
      <c r="J15" s="328"/>
      <c r="K15" s="328"/>
      <c r="L15" s="329"/>
      <c r="M15" s="328"/>
      <c r="N15" s="328"/>
      <c r="O15" s="328"/>
      <c r="P15" s="328"/>
      <c r="Q15" s="328"/>
      <c r="R15" s="328"/>
      <c r="S15" s="329"/>
    </row>
    <row r="16" spans="1:28" ht="16.5" customHeight="1">
      <c r="A16" s="207"/>
      <c r="B16" s="217"/>
      <c r="C16" s="309" t="s">
        <v>1184</v>
      </c>
      <c r="D16" s="330">
        <v>1</v>
      </c>
      <c r="E16" s="331">
        <v>25713.514999999999</v>
      </c>
      <c r="F16" s="332"/>
      <c r="G16" s="332">
        <f t="shared" ref="G16:G21" si="0">IF($M16&gt;$U$11,($E16-$U$11)*$W$11,"ERROR")</f>
        <v>2335.7210700000001</v>
      </c>
      <c r="H16" s="332"/>
      <c r="I16" s="332">
        <f t="shared" ref="I16:I21" si="1">$E16*$V$13</f>
        <v>6088.9603520000001</v>
      </c>
      <c r="J16" s="332"/>
      <c r="K16" s="332">
        <f>E16+ROUND(G16,0)+ROUND(I16,0)</f>
        <v>34138.514999999999</v>
      </c>
      <c r="L16" s="333"/>
      <c r="M16" s="332">
        <f t="shared" ref="M16:M21" si="2">E16</f>
        <v>25713.514999999999</v>
      </c>
      <c r="N16" s="332"/>
      <c r="O16" s="332"/>
      <c r="P16" s="332">
        <f t="shared" ref="P16:P21" si="3">IF($M16&gt;$U$11,($M16-$U$11)*$W$11,"ERROR")</f>
        <v>2335.7210700000001</v>
      </c>
      <c r="Q16" s="332"/>
      <c r="R16" s="332">
        <f t="shared" ref="R16:R21" si="4">SUM(M16:P16)</f>
        <v>28049.236069999999</v>
      </c>
      <c r="S16" s="223"/>
      <c r="U16" s="334"/>
      <c r="V16" s="335"/>
    </row>
    <row r="17" spans="1:22" ht="15.5">
      <c r="A17" s="207"/>
      <c r="B17" s="226"/>
      <c r="C17" s="336"/>
      <c r="D17" s="330">
        <v>2</v>
      </c>
      <c r="E17" s="331">
        <v>27599.751000000004</v>
      </c>
      <c r="F17" s="332"/>
      <c r="G17" s="332">
        <f t="shared" si="0"/>
        <v>2596.0216380000006</v>
      </c>
      <c r="H17" s="332"/>
      <c r="I17" s="332">
        <f t="shared" si="1"/>
        <v>6535.6210368000011</v>
      </c>
      <c r="J17" s="332"/>
      <c r="K17" s="332">
        <f t="shared" ref="K17:K34" si="5">E17+ROUND(G17,0)+ROUND(I17,0)</f>
        <v>36731.751000000004</v>
      </c>
      <c r="L17" s="333"/>
      <c r="M17" s="332">
        <f t="shared" si="2"/>
        <v>27599.751000000004</v>
      </c>
      <c r="N17" s="332"/>
      <c r="O17" s="332"/>
      <c r="P17" s="332">
        <f t="shared" si="3"/>
        <v>2596.0216380000006</v>
      </c>
      <c r="Q17" s="332"/>
      <c r="R17" s="332">
        <f t="shared" si="4"/>
        <v>30195.772638000006</v>
      </c>
      <c r="S17" s="223"/>
      <c r="U17" s="334" t="s">
        <v>1185</v>
      </c>
      <c r="V17" s="335"/>
    </row>
    <row r="18" spans="1:22" ht="15.5">
      <c r="A18" s="207"/>
      <c r="B18" s="226"/>
      <c r="C18" s="336"/>
      <c r="D18" s="330">
        <v>3</v>
      </c>
      <c r="E18" s="331">
        <v>29663.172000000002</v>
      </c>
      <c r="F18" s="332"/>
      <c r="G18" s="332">
        <f t="shared" si="0"/>
        <v>2880.7737360000006</v>
      </c>
      <c r="H18" s="332"/>
      <c r="I18" s="332">
        <f t="shared" si="1"/>
        <v>7024.2391296000005</v>
      </c>
      <c r="J18" s="332"/>
      <c r="K18" s="332">
        <f t="shared" si="5"/>
        <v>39568.172000000006</v>
      </c>
      <c r="L18" s="333"/>
      <c r="M18" s="332">
        <f t="shared" si="2"/>
        <v>29663.172000000002</v>
      </c>
      <c r="N18" s="332"/>
      <c r="O18" s="332"/>
      <c r="P18" s="332">
        <f t="shared" si="3"/>
        <v>2880.7737360000006</v>
      </c>
      <c r="Q18" s="332"/>
      <c r="R18" s="332">
        <f t="shared" si="4"/>
        <v>32543.945736000001</v>
      </c>
      <c r="S18" s="223"/>
      <c r="U18" s="334" t="s">
        <v>1015</v>
      </c>
      <c r="V18" s="335"/>
    </row>
    <row r="19" spans="1:22" ht="15.5">
      <c r="A19" s="207"/>
      <c r="B19" s="226"/>
      <c r="C19" s="336"/>
      <c r="D19" s="330">
        <v>4</v>
      </c>
      <c r="E19" s="331">
        <f>31777.0615+E53</f>
        <v>34047.061499999996</v>
      </c>
      <c r="F19" s="332"/>
      <c r="G19" s="332">
        <f t="shared" si="0"/>
        <v>3485.7504869999998</v>
      </c>
      <c r="H19" s="332"/>
      <c r="I19" s="332">
        <f t="shared" si="1"/>
        <v>8062.3441631999995</v>
      </c>
      <c r="J19" s="332"/>
      <c r="K19" s="332">
        <f t="shared" si="5"/>
        <v>45595.061499999996</v>
      </c>
      <c r="L19" s="333"/>
      <c r="M19" s="332">
        <f t="shared" si="2"/>
        <v>34047.061499999996</v>
      </c>
      <c r="N19" s="332"/>
      <c r="O19" s="332"/>
      <c r="P19" s="332">
        <f t="shared" si="3"/>
        <v>3485.7504869999998</v>
      </c>
      <c r="Q19" s="332"/>
      <c r="R19" s="332">
        <f t="shared" si="4"/>
        <v>37532.811986999994</v>
      </c>
      <c r="S19" s="223"/>
      <c r="U19" s="334"/>
      <c r="V19" s="335"/>
    </row>
    <row r="20" spans="1:22" ht="15.5">
      <c r="A20" s="207"/>
      <c r="B20" s="226"/>
      <c r="C20" s="336"/>
      <c r="D20" s="330">
        <v>5</v>
      </c>
      <c r="E20" s="331">
        <f>34099.33+E53</f>
        <v>36369.33</v>
      </c>
      <c r="F20" s="332"/>
      <c r="G20" s="332">
        <f t="shared" si="0"/>
        <v>3806.2235400000004</v>
      </c>
      <c r="H20" s="332"/>
      <c r="I20" s="332">
        <f t="shared" si="1"/>
        <v>8612.2573440000015</v>
      </c>
      <c r="J20" s="332"/>
      <c r="K20" s="332">
        <f t="shared" si="5"/>
        <v>48787.33</v>
      </c>
      <c r="L20" s="333"/>
      <c r="M20" s="332">
        <f t="shared" si="2"/>
        <v>36369.33</v>
      </c>
      <c r="N20" s="332"/>
      <c r="O20" s="332"/>
      <c r="P20" s="332">
        <f t="shared" si="3"/>
        <v>3806.2235400000004</v>
      </c>
      <c r="Q20" s="332"/>
      <c r="R20" s="332">
        <f t="shared" si="4"/>
        <v>40175.553540000001</v>
      </c>
      <c r="S20" s="223"/>
      <c r="T20" s="337"/>
      <c r="U20" s="334" t="s">
        <v>1016</v>
      </c>
      <c r="V20" s="338"/>
    </row>
    <row r="21" spans="1:22" ht="15.5">
      <c r="A21" s="207"/>
      <c r="B21" s="226"/>
      <c r="C21" s="336"/>
      <c r="D21" s="330">
        <v>6</v>
      </c>
      <c r="E21" s="331">
        <v>36960.202499999999</v>
      </c>
      <c r="F21" s="332"/>
      <c r="G21" s="332">
        <f t="shared" si="0"/>
        <v>3887.7639450000001</v>
      </c>
      <c r="H21" s="332"/>
      <c r="I21" s="332">
        <f t="shared" si="1"/>
        <v>8752.1759519999996</v>
      </c>
      <c r="J21" s="332"/>
      <c r="K21" s="332">
        <f t="shared" si="5"/>
        <v>49600.202499999999</v>
      </c>
      <c r="L21" s="333"/>
      <c r="M21" s="332">
        <f t="shared" si="2"/>
        <v>36960.202499999999</v>
      </c>
      <c r="N21" s="332"/>
      <c r="O21" s="332"/>
      <c r="P21" s="332">
        <f t="shared" si="3"/>
        <v>3887.7639450000001</v>
      </c>
      <c r="Q21" s="332"/>
      <c r="R21" s="332">
        <f t="shared" si="4"/>
        <v>40847.966444999998</v>
      </c>
      <c r="S21" s="223"/>
      <c r="T21" s="337"/>
      <c r="U21" s="334" t="s">
        <v>1017</v>
      </c>
      <c r="V21" s="338"/>
    </row>
    <row r="22" spans="1:22" ht="15.5">
      <c r="A22" s="207"/>
      <c r="B22" s="339" t="s">
        <v>1186</v>
      </c>
      <c r="C22" s="336"/>
      <c r="D22" s="330"/>
      <c r="E22" s="331"/>
      <c r="F22" s="332"/>
      <c r="G22" s="332"/>
      <c r="H22" s="332"/>
      <c r="I22" s="332"/>
      <c r="J22" s="332"/>
      <c r="K22" s="332"/>
      <c r="L22" s="333"/>
      <c r="M22" s="340" t="s">
        <v>1187</v>
      </c>
      <c r="N22" s="332"/>
      <c r="O22" s="332"/>
      <c r="P22" s="332"/>
      <c r="Q22" s="332"/>
      <c r="R22" s="332"/>
      <c r="S22" s="223"/>
      <c r="U22" s="334"/>
      <c r="V22" s="338"/>
    </row>
    <row r="23" spans="1:22" ht="15.5">
      <c r="A23" s="207"/>
      <c r="B23" s="226"/>
      <c r="C23" s="336" t="s">
        <v>1188</v>
      </c>
      <c r="D23" s="330">
        <v>1</v>
      </c>
      <c r="E23" s="331">
        <v>38689.485000000001</v>
      </c>
      <c r="F23" s="332"/>
      <c r="G23" s="332">
        <f>IF($M23&gt;$U$11,($E23-$U$11)*$W$11,"ERROR")</f>
        <v>4126.4049300000006</v>
      </c>
      <c r="H23" s="332"/>
      <c r="I23" s="332">
        <f>$E23*$V$13</f>
        <v>9161.670048</v>
      </c>
      <c r="J23" s="332"/>
      <c r="K23" s="332">
        <f t="shared" si="5"/>
        <v>51977.485000000001</v>
      </c>
      <c r="L23" s="333"/>
      <c r="M23" s="332">
        <f>E23</f>
        <v>38689.485000000001</v>
      </c>
      <c r="N23" s="332"/>
      <c r="O23" s="332"/>
      <c r="P23" s="332">
        <f>IF($M23&gt;$U$11,($M23-$U$11)*$W$11,"ERROR")</f>
        <v>4126.4049300000006</v>
      </c>
      <c r="Q23" s="332"/>
      <c r="R23" s="332">
        <f>SUM(M23:P23)</f>
        <v>42815.889930000005</v>
      </c>
      <c r="S23" s="223"/>
      <c r="T23" s="337"/>
      <c r="U23" s="334" t="s">
        <v>1020</v>
      </c>
      <c r="V23" s="338"/>
    </row>
    <row r="24" spans="1:22" ht="15.5">
      <c r="A24" s="207"/>
      <c r="B24" s="226"/>
      <c r="C24" s="336" t="s">
        <v>1189</v>
      </c>
      <c r="D24" s="330">
        <v>2</v>
      </c>
      <c r="E24" s="331">
        <v>40123.875</v>
      </c>
      <c r="F24" s="332"/>
      <c r="G24" s="332">
        <f>IF($M24&gt;$U$11,($E24-$U$11)*$W$11,"ERROR")</f>
        <v>4324.3507500000005</v>
      </c>
      <c r="H24" s="332"/>
      <c r="I24" s="332">
        <f>$E24*$V$13</f>
        <v>9501.3335999999999</v>
      </c>
      <c r="J24" s="332"/>
      <c r="K24" s="332">
        <f t="shared" si="5"/>
        <v>53948.875</v>
      </c>
      <c r="L24" s="333"/>
      <c r="M24" s="332">
        <f>E24</f>
        <v>40123.875</v>
      </c>
      <c r="N24" s="332"/>
      <c r="O24" s="332"/>
      <c r="P24" s="332">
        <f>IF($M24&gt;$U$11,($M24-$U$11)*$W$11,"ERROR")</f>
        <v>4324.3507500000005</v>
      </c>
      <c r="Q24" s="332"/>
      <c r="R24" s="332">
        <f>SUM(M24:P24)</f>
        <v>44448.225749999998</v>
      </c>
      <c r="S24" s="223"/>
      <c r="T24" s="337"/>
      <c r="U24" s="334" t="s">
        <v>1190</v>
      </c>
      <c r="V24" s="338"/>
    </row>
    <row r="25" spans="1:22" ht="15.5">
      <c r="A25" s="207"/>
      <c r="B25" s="226"/>
      <c r="C25" s="336"/>
      <c r="D25" s="330">
        <v>3</v>
      </c>
      <c r="E25" s="331">
        <v>41603.474999999999</v>
      </c>
      <c r="F25" s="332"/>
      <c r="G25" s="332">
        <f>IF($M25&gt;$U$11,($E25-$U$11)*$W$11,"ERROR")</f>
        <v>4528.5355500000005</v>
      </c>
      <c r="H25" s="332"/>
      <c r="I25" s="332">
        <f>$E25*$V$13</f>
        <v>9851.7028800000007</v>
      </c>
      <c r="J25" s="332"/>
      <c r="K25" s="332">
        <f t="shared" si="5"/>
        <v>55984.474999999999</v>
      </c>
      <c r="L25" s="333"/>
      <c r="M25" s="332">
        <f>E25</f>
        <v>41603.474999999999</v>
      </c>
      <c r="N25" s="332"/>
      <c r="O25" s="332"/>
      <c r="P25" s="332">
        <f>IF($M25&gt;$U$11,($M25-$U$11)*$W$11,"ERROR")</f>
        <v>4528.5355500000005</v>
      </c>
      <c r="Q25" s="332"/>
      <c r="R25" s="332">
        <f>SUM(M25:P25)</f>
        <v>46132.010549999999</v>
      </c>
      <c r="S25" s="223"/>
      <c r="T25" s="337"/>
      <c r="U25" s="334"/>
      <c r="V25" s="338"/>
    </row>
    <row r="26" spans="1:22" ht="15.5">
      <c r="A26" s="207"/>
      <c r="B26" s="226"/>
      <c r="C26" s="336"/>
      <c r="D26" s="330"/>
      <c r="E26" s="331"/>
      <c r="F26" s="332"/>
      <c r="G26" s="332"/>
      <c r="H26" s="332"/>
      <c r="I26" s="332"/>
      <c r="J26" s="332"/>
      <c r="K26" s="332"/>
      <c r="L26" s="333"/>
      <c r="M26" s="332"/>
      <c r="N26" s="332"/>
      <c r="O26" s="332"/>
      <c r="P26" s="332"/>
      <c r="Q26" s="332"/>
      <c r="R26" s="332"/>
      <c r="S26" s="223"/>
      <c r="T26" s="337"/>
      <c r="U26" s="334" t="s">
        <v>1023</v>
      </c>
    </row>
    <row r="27" spans="1:22" ht="15.5">
      <c r="A27" s="207"/>
      <c r="B27" s="339" t="s">
        <v>1191</v>
      </c>
      <c r="C27" s="336"/>
      <c r="D27" s="330"/>
      <c r="E27" s="331"/>
      <c r="F27" s="332"/>
      <c r="G27" s="332"/>
      <c r="H27" s="332"/>
      <c r="I27" s="332"/>
      <c r="J27" s="332"/>
      <c r="K27" s="332"/>
      <c r="L27" s="333"/>
      <c r="M27" s="340" t="s">
        <v>1187</v>
      </c>
      <c r="N27" s="332"/>
      <c r="O27" s="332"/>
      <c r="P27" s="332"/>
      <c r="Q27" s="332"/>
      <c r="R27" s="332"/>
      <c r="S27" s="223"/>
      <c r="T27" s="337"/>
      <c r="U27" s="334" t="s">
        <v>1025</v>
      </c>
      <c r="V27" s="338"/>
    </row>
    <row r="28" spans="1:22" ht="15.5">
      <c r="A28" s="207"/>
      <c r="B28" s="341"/>
      <c r="C28" s="336"/>
      <c r="D28" s="312"/>
      <c r="E28" s="331"/>
      <c r="F28" s="332"/>
      <c r="G28" s="332"/>
      <c r="H28" s="332"/>
      <c r="I28" s="332"/>
      <c r="J28" s="332"/>
      <c r="K28" s="332"/>
      <c r="L28" s="333"/>
      <c r="M28" s="332"/>
      <c r="N28" s="332"/>
      <c r="O28" s="332"/>
      <c r="P28" s="332"/>
      <c r="Q28" s="332"/>
      <c r="R28" s="332"/>
      <c r="S28" s="223"/>
      <c r="T28" s="337"/>
      <c r="U28" s="334" t="s">
        <v>1192</v>
      </c>
      <c r="V28" s="338"/>
    </row>
    <row r="29" spans="1:22" ht="15.5">
      <c r="A29" s="207"/>
      <c r="B29" s="342" t="s">
        <v>1193</v>
      </c>
      <c r="C29" s="336" t="s">
        <v>1194</v>
      </c>
      <c r="D29" s="343">
        <v>1</v>
      </c>
      <c r="E29" s="331">
        <v>18168.255000000001</v>
      </c>
      <c r="F29" s="332"/>
      <c r="G29" s="332">
        <f t="shared" ref="G29:G34" si="6">IF($M29&gt;$U$11,($E29-$U$11)*$W$11,"ERROR")</f>
        <v>1294.4751900000003</v>
      </c>
      <c r="H29" s="332"/>
      <c r="I29" s="332">
        <f t="shared" ref="I29:I34" si="7">$E29*$V$13</f>
        <v>4302.242784</v>
      </c>
      <c r="J29" s="332"/>
      <c r="K29" s="332">
        <f t="shared" si="5"/>
        <v>23764.255000000001</v>
      </c>
      <c r="L29" s="333"/>
      <c r="M29" s="332">
        <f t="shared" ref="M29:M34" si="8">E29</f>
        <v>18168.255000000001</v>
      </c>
      <c r="N29" s="332"/>
      <c r="O29" s="332"/>
      <c r="P29" s="332">
        <f t="shared" ref="P29:P34" si="9">IF($M29&gt;$U$11,($M29-$U$11)*$W$11,"ERROR")</f>
        <v>1294.4751900000003</v>
      </c>
      <c r="Q29" s="332"/>
      <c r="R29" s="332">
        <f t="shared" ref="R29:R34" si="10">SUM(M29:P29)</f>
        <v>19462.730190000002</v>
      </c>
      <c r="S29" s="223"/>
      <c r="T29" s="337"/>
      <c r="U29" s="334"/>
      <c r="V29" s="338"/>
    </row>
    <row r="30" spans="1:22" ht="15.5">
      <c r="A30" s="207"/>
      <c r="B30" s="342" t="s">
        <v>1195</v>
      </c>
      <c r="C30" s="336" t="s">
        <v>1196</v>
      </c>
      <c r="D30" s="343">
        <v>2</v>
      </c>
      <c r="E30" s="331">
        <v>20281.822499999998</v>
      </c>
      <c r="F30" s="332"/>
      <c r="G30" s="332">
        <f t="shared" si="6"/>
        <v>1586.1475049999999</v>
      </c>
      <c r="H30" s="332"/>
      <c r="I30" s="332">
        <f t="shared" si="7"/>
        <v>4802.7355680000001</v>
      </c>
      <c r="J30" s="332"/>
      <c r="K30" s="332">
        <f t="shared" si="5"/>
        <v>26670.822499999998</v>
      </c>
      <c r="L30" s="333"/>
      <c r="M30" s="332">
        <f t="shared" si="8"/>
        <v>20281.822499999998</v>
      </c>
      <c r="N30" s="332"/>
      <c r="O30" s="332"/>
      <c r="P30" s="332">
        <f t="shared" si="9"/>
        <v>1586.1475049999999</v>
      </c>
      <c r="Q30" s="332"/>
      <c r="R30" s="332">
        <f t="shared" si="10"/>
        <v>21867.970004999999</v>
      </c>
      <c r="S30" s="223"/>
      <c r="T30" s="337"/>
      <c r="U30" s="334"/>
      <c r="V30" s="338"/>
    </row>
    <row r="31" spans="1:22" ht="15.5">
      <c r="A31" s="207"/>
      <c r="B31" s="344"/>
      <c r="C31" s="336"/>
      <c r="D31" s="343">
        <v>3</v>
      </c>
      <c r="E31" s="331">
        <v>22393.334999999999</v>
      </c>
      <c r="F31" s="332"/>
      <c r="G31" s="332">
        <f t="shared" si="6"/>
        <v>1877.5362299999999</v>
      </c>
      <c r="H31" s="332"/>
      <c r="I31" s="332">
        <f t="shared" si="7"/>
        <v>5302.741728</v>
      </c>
      <c r="J31" s="332"/>
      <c r="K31" s="332">
        <f t="shared" si="5"/>
        <v>29574.334999999999</v>
      </c>
      <c r="L31" s="333"/>
      <c r="M31" s="332">
        <f t="shared" si="8"/>
        <v>22393.334999999999</v>
      </c>
      <c r="N31" s="332"/>
      <c r="O31" s="332"/>
      <c r="P31" s="332">
        <f t="shared" si="9"/>
        <v>1877.5362299999999</v>
      </c>
      <c r="Q31" s="332"/>
      <c r="R31" s="332">
        <f t="shared" si="10"/>
        <v>24270.871230000001</v>
      </c>
      <c r="S31" s="223"/>
      <c r="T31" s="337"/>
      <c r="U31" s="334"/>
    </row>
    <row r="32" spans="1:22" ht="15.5">
      <c r="A32" s="207"/>
      <c r="B32" s="344"/>
      <c r="C32" s="336"/>
      <c r="D32" s="343">
        <v>4</v>
      </c>
      <c r="E32" s="331">
        <v>24506.9025</v>
      </c>
      <c r="F32" s="332"/>
      <c r="G32" s="332">
        <f t="shared" si="6"/>
        <v>2169.2085450000004</v>
      </c>
      <c r="H32" s="332"/>
      <c r="I32" s="332">
        <f t="shared" si="7"/>
        <v>5803.234512</v>
      </c>
      <c r="J32" s="332"/>
      <c r="K32" s="332">
        <f t="shared" si="5"/>
        <v>32478.9025</v>
      </c>
      <c r="L32" s="333"/>
      <c r="M32" s="332">
        <f t="shared" si="8"/>
        <v>24506.9025</v>
      </c>
      <c r="N32" s="332"/>
      <c r="O32" s="332"/>
      <c r="P32" s="332">
        <f t="shared" si="9"/>
        <v>2169.2085450000004</v>
      </c>
      <c r="Q32" s="332"/>
      <c r="R32" s="332">
        <f t="shared" si="10"/>
        <v>26676.111045000001</v>
      </c>
      <c r="S32" s="223"/>
      <c r="T32" s="337"/>
      <c r="U32" s="334"/>
    </row>
    <row r="33" spans="1:22" ht="15.5">
      <c r="A33" s="207"/>
      <c r="B33" s="341"/>
      <c r="C33" s="336"/>
      <c r="D33" s="343">
        <v>5</v>
      </c>
      <c r="E33" s="331">
        <v>26621.497499999998</v>
      </c>
      <c r="F33" s="332"/>
      <c r="G33" s="332">
        <f t="shared" si="6"/>
        <v>2461.0226549999998</v>
      </c>
      <c r="H33" s="332"/>
      <c r="I33" s="332">
        <f t="shared" si="7"/>
        <v>6303.9706079999996</v>
      </c>
      <c r="J33" s="332"/>
      <c r="K33" s="332">
        <f t="shared" si="5"/>
        <v>35386.497499999998</v>
      </c>
      <c r="L33" s="333"/>
      <c r="M33" s="332">
        <f t="shared" si="8"/>
        <v>26621.497499999998</v>
      </c>
      <c r="N33" s="332"/>
      <c r="O33" s="332"/>
      <c r="P33" s="332">
        <f t="shared" si="9"/>
        <v>2461.0226549999998</v>
      </c>
      <c r="Q33" s="332"/>
      <c r="R33" s="332">
        <f t="shared" si="10"/>
        <v>29082.520154999998</v>
      </c>
      <c r="S33" s="223"/>
      <c r="T33" s="337"/>
      <c r="U33" s="334"/>
      <c r="V33" s="338"/>
    </row>
    <row r="34" spans="1:22" ht="15.5">
      <c r="A34" s="207"/>
      <c r="B34" s="341"/>
      <c r="C34" s="336"/>
      <c r="D34" s="343">
        <v>6</v>
      </c>
      <c r="E34" s="331">
        <v>28734.037499999999</v>
      </c>
      <c r="F34" s="332"/>
      <c r="G34" s="332">
        <f t="shared" si="6"/>
        <v>2752.553175</v>
      </c>
      <c r="H34" s="332"/>
      <c r="I34" s="332">
        <f t="shared" si="7"/>
        <v>6804.2200800000001</v>
      </c>
      <c r="J34" s="332"/>
      <c r="K34" s="332">
        <f t="shared" si="5"/>
        <v>38291.037499999999</v>
      </c>
      <c r="L34" s="333"/>
      <c r="M34" s="332">
        <f t="shared" si="8"/>
        <v>28734.037499999999</v>
      </c>
      <c r="N34" s="332"/>
      <c r="O34" s="332"/>
      <c r="P34" s="332">
        <f t="shared" si="9"/>
        <v>2752.553175</v>
      </c>
      <c r="Q34" s="332"/>
      <c r="R34" s="332">
        <f t="shared" si="10"/>
        <v>31486.590674999999</v>
      </c>
      <c r="S34" s="223"/>
      <c r="T34" s="337"/>
      <c r="U34" s="334"/>
      <c r="V34" s="338"/>
    </row>
    <row r="35" spans="1:22" ht="15.5">
      <c r="A35" s="207"/>
      <c r="B35" s="341"/>
      <c r="C35" s="336"/>
      <c r="D35" s="343"/>
      <c r="E35" s="345"/>
      <c r="F35" s="345"/>
      <c r="G35" s="345"/>
      <c r="H35" s="345"/>
      <c r="I35" s="345"/>
      <c r="J35" s="345"/>
      <c r="K35" s="345"/>
      <c r="L35" s="346"/>
      <c r="M35" s="345"/>
      <c r="N35" s="345"/>
      <c r="O35" s="345"/>
      <c r="P35" s="345"/>
      <c r="Q35" s="345"/>
      <c r="R35" s="345"/>
      <c r="S35" s="223"/>
      <c r="T35" s="337"/>
      <c r="U35" s="334"/>
      <c r="V35" s="338"/>
    </row>
    <row r="36" spans="1:22" ht="15.5">
      <c r="A36" s="207"/>
      <c r="B36" s="341"/>
      <c r="C36" s="336"/>
      <c r="D36" s="343"/>
      <c r="E36" s="345"/>
      <c r="F36" s="345"/>
      <c r="G36" s="345"/>
      <c r="H36" s="345"/>
      <c r="I36" s="345"/>
      <c r="J36" s="345"/>
      <c r="K36" s="345"/>
      <c r="L36" s="346"/>
      <c r="M36" s="345"/>
      <c r="N36" s="345"/>
      <c r="O36" s="345"/>
      <c r="P36" s="345"/>
      <c r="Q36" s="345"/>
      <c r="R36" s="345"/>
      <c r="S36" s="223"/>
      <c r="T36" s="337"/>
      <c r="U36" s="334"/>
      <c r="V36" s="338"/>
    </row>
    <row r="37" spans="1:22" ht="16" thickBot="1">
      <c r="A37" s="207"/>
      <c r="B37" s="347"/>
      <c r="C37" s="348"/>
      <c r="D37" s="349"/>
      <c r="E37" s="240"/>
      <c r="F37" s="240"/>
      <c r="G37" s="240"/>
      <c r="H37" s="240"/>
      <c r="I37" s="240"/>
      <c r="J37" s="240"/>
      <c r="K37" s="240"/>
      <c r="L37" s="350"/>
      <c r="M37" s="351"/>
      <c r="N37" s="240"/>
      <c r="O37" s="240"/>
      <c r="P37" s="240"/>
      <c r="Q37" s="240"/>
      <c r="R37" s="240"/>
      <c r="S37" s="242"/>
      <c r="T37" s="337"/>
      <c r="U37" s="334"/>
    </row>
    <row r="38" spans="1:22" ht="13.5" thickBot="1">
      <c r="A38" s="207"/>
      <c r="B38" s="352"/>
      <c r="C38" s="325"/>
      <c r="D38" s="353"/>
      <c r="E38" s="354"/>
      <c r="F38" s="354"/>
      <c r="G38" s="354"/>
      <c r="H38" s="354"/>
      <c r="I38" s="354"/>
      <c r="J38" s="354"/>
      <c r="K38" s="354"/>
      <c r="L38" s="354"/>
      <c r="M38" s="354"/>
      <c r="N38" s="354"/>
      <c r="O38" s="354"/>
      <c r="P38" s="354"/>
      <c r="Q38" s="354"/>
      <c r="R38" s="354"/>
      <c r="T38" s="337"/>
    </row>
    <row r="39" spans="1:22" ht="13">
      <c r="A39" s="207" t="s">
        <v>1197</v>
      </c>
      <c r="B39" s="170" t="s">
        <v>1198</v>
      </c>
      <c r="C39" s="172"/>
      <c r="D39" s="355"/>
      <c r="E39" s="356"/>
      <c r="F39" s="356"/>
      <c r="G39" s="357"/>
      <c r="H39" s="354"/>
      <c r="I39" s="354"/>
      <c r="J39" s="354"/>
      <c r="K39" s="354"/>
      <c r="L39" s="354"/>
      <c r="M39" s="354"/>
      <c r="N39" s="354"/>
      <c r="O39" s="354"/>
      <c r="P39" s="354"/>
      <c r="Q39" s="354"/>
      <c r="R39" s="354"/>
      <c r="T39" s="337"/>
    </row>
    <row r="40" spans="1:22">
      <c r="B40" s="181"/>
      <c r="C40" s="358"/>
      <c r="D40" s="359"/>
      <c r="E40" s="360"/>
      <c r="F40" s="360"/>
      <c r="G40" s="361"/>
      <c r="T40" s="337"/>
    </row>
    <row r="41" spans="1:22">
      <c r="B41" s="181" t="s">
        <v>1199</v>
      </c>
      <c r="C41" s="358"/>
      <c r="D41" s="359"/>
      <c r="E41" s="360"/>
      <c r="F41" s="360"/>
      <c r="G41" s="361"/>
      <c r="H41" s="283" t="s">
        <v>1200</v>
      </c>
      <c r="T41" s="337"/>
    </row>
    <row r="42" spans="1:22">
      <c r="B42" s="181" t="s">
        <v>1201</v>
      </c>
      <c r="C42" s="358"/>
      <c r="D42" s="359"/>
      <c r="E42" s="362">
        <v>571</v>
      </c>
      <c r="F42" s="360"/>
      <c r="G42" s="361"/>
      <c r="T42" s="337"/>
    </row>
    <row r="43" spans="1:22">
      <c r="B43" s="181" t="s">
        <v>1202</v>
      </c>
      <c r="C43" s="358"/>
      <c r="D43" s="359"/>
      <c r="E43" s="362">
        <v>2833</v>
      </c>
      <c r="F43" s="360"/>
      <c r="G43" s="361"/>
    </row>
    <row r="44" spans="1:22">
      <c r="B44" s="181"/>
      <c r="C44" s="358"/>
      <c r="D44" s="359"/>
      <c r="E44" s="362"/>
      <c r="F44" s="360"/>
      <c r="G44" s="361"/>
    </row>
    <row r="45" spans="1:22">
      <c r="B45" s="181" t="s">
        <v>1203</v>
      </c>
      <c r="C45" s="363"/>
      <c r="D45" s="182"/>
      <c r="E45" s="362"/>
      <c r="F45" s="363"/>
      <c r="G45" s="364"/>
      <c r="H45" s="283" t="s">
        <v>1204</v>
      </c>
    </row>
    <row r="46" spans="1:22">
      <c r="B46" s="181" t="s">
        <v>1201</v>
      </c>
      <c r="C46" s="363"/>
      <c r="D46" s="182"/>
      <c r="E46" s="362">
        <v>2873</v>
      </c>
      <c r="F46" s="363"/>
      <c r="G46" s="361"/>
    </row>
    <row r="47" spans="1:22">
      <c r="B47" s="181" t="s">
        <v>1202</v>
      </c>
      <c r="C47" s="363"/>
      <c r="D47" s="182"/>
      <c r="E47" s="362">
        <v>7017</v>
      </c>
      <c r="F47" s="363"/>
      <c r="G47" s="361"/>
    </row>
    <row r="48" spans="1:22">
      <c r="B48" s="181"/>
      <c r="C48" s="363"/>
      <c r="D48" s="182"/>
      <c r="E48" s="362"/>
      <c r="F48" s="363"/>
      <c r="G48" s="361"/>
    </row>
    <row r="49" spans="2:22">
      <c r="B49" s="181" t="s">
        <v>1205</v>
      </c>
      <c r="C49" s="363"/>
      <c r="D49" s="182"/>
      <c r="E49" s="362"/>
      <c r="F49" s="363"/>
      <c r="G49" s="361"/>
      <c r="H49" s="283" t="s">
        <v>1206</v>
      </c>
    </row>
    <row r="50" spans="2:22">
      <c r="B50" s="365" t="s">
        <v>1201</v>
      </c>
      <c r="C50" s="182"/>
      <c r="D50" s="182"/>
      <c r="E50" s="362">
        <v>8291</v>
      </c>
      <c r="F50" s="363"/>
      <c r="G50" s="361"/>
      <c r="V50" s="338"/>
    </row>
    <row r="51" spans="2:22">
      <c r="B51" s="365" t="s">
        <v>1202</v>
      </c>
      <c r="C51" s="182"/>
      <c r="D51" s="182"/>
      <c r="E51" s="362">
        <v>14030</v>
      </c>
      <c r="F51" s="363"/>
      <c r="G51" s="361"/>
      <c r="V51" s="338"/>
    </row>
    <row r="52" spans="2:22">
      <c r="B52" s="365"/>
      <c r="C52" s="182"/>
      <c r="D52" s="182"/>
      <c r="E52" s="362"/>
      <c r="F52" s="363"/>
      <c r="G52" s="361"/>
    </row>
    <row r="53" spans="2:22">
      <c r="B53" s="365" t="s">
        <v>1207</v>
      </c>
      <c r="C53" s="182"/>
      <c r="D53" s="182"/>
      <c r="E53" s="362">
        <v>2270</v>
      </c>
      <c r="F53" s="363"/>
      <c r="G53" s="361"/>
    </row>
    <row r="54" spans="2:22" ht="13" thickBot="1">
      <c r="B54" s="321" t="s">
        <v>1208</v>
      </c>
      <c r="C54" s="196"/>
      <c r="D54" s="196"/>
      <c r="E54" s="366">
        <v>4479</v>
      </c>
      <c r="F54" s="367"/>
      <c r="G54" s="368"/>
      <c r="V54" s="338"/>
    </row>
    <row r="55" spans="2:22">
      <c r="V55" s="338"/>
    </row>
    <row r="57" spans="2:22" ht="13">
      <c r="B57" s="207"/>
      <c r="V57" s="338"/>
    </row>
    <row r="58" spans="2:22">
      <c r="V58" s="338"/>
    </row>
    <row r="59" spans="2:22">
      <c r="B59" s="369"/>
      <c r="E59" s="354"/>
    </row>
    <row r="60" spans="2:22">
      <c r="E60" s="354"/>
    </row>
    <row r="61" spans="2:22" ht="15.5">
      <c r="B61" s="217"/>
      <c r="C61" s="309"/>
      <c r="D61" s="309"/>
      <c r="E61" s="310" t="s">
        <v>1180</v>
      </c>
      <c r="F61" s="311"/>
      <c r="G61" s="310"/>
      <c r="H61" s="311"/>
      <c r="I61" s="310"/>
      <c r="J61" s="311"/>
      <c r="K61" s="310"/>
      <c r="L61" s="312"/>
      <c r="M61" s="313" t="s">
        <v>1181</v>
      </c>
      <c r="N61" s="314"/>
      <c r="O61" s="314"/>
      <c r="P61" s="314"/>
      <c r="Q61" s="314"/>
      <c r="R61" s="314"/>
      <c r="S61" s="223"/>
    </row>
    <row r="62" spans="2:22" ht="15.5">
      <c r="B62" s="217"/>
      <c r="C62" s="315" t="s">
        <v>953</v>
      </c>
      <c r="D62" s="315" t="s">
        <v>1007</v>
      </c>
      <c r="E62" s="316" t="s">
        <v>1182</v>
      </c>
      <c r="F62" s="315"/>
      <c r="G62" s="317" t="s">
        <v>1009</v>
      </c>
      <c r="H62" s="315"/>
      <c r="I62" s="316" t="s">
        <v>1183</v>
      </c>
      <c r="J62" s="315"/>
      <c r="K62" s="316" t="s">
        <v>77</v>
      </c>
      <c r="L62" s="318"/>
      <c r="M62" s="319" t="s">
        <v>1182</v>
      </c>
      <c r="N62" s="315"/>
      <c r="O62" s="315"/>
      <c r="P62" s="317" t="s">
        <v>1009</v>
      </c>
      <c r="Q62" s="315"/>
      <c r="R62" s="320" t="s">
        <v>77</v>
      </c>
      <c r="S62" s="223"/>
    </row>
    <row r="63" spans="2:22" ht="16" thickBot="1">
      <c r="B63" s="322"/>
      <c r="C63" s="323"/>
      <c r="D63" s="323"/>
      <c r="E63" s="323"/>
      <c r="F63" s="323"/>
      <c r="G63" s="323"/>
      <c r="H63" s="323"/>
      <c r="I63" s="323"/>
      <c r="J63" s="323"/>
      <c r="K63" s="323"/>
      <c r="L63" s="323"/>
      <c r="M63" s="324"/>
      <c r="N63" s="323"/>
      <c r="O63" s="323"/>
      <c r="P63" s="323"/>
      <c r="Q63" s="323"/>
      <c r="R63" s="323"/>
      <c r="S63" s="242"/>
    </row>
    <row r="64" spans="2:22" ht="15.5">
      <c r="B64" s="327"/>
      <c r="C64" s="328"/>
      <c r="D64" s="328"/>
      <c r="E64" s="328"/>
      <c r="F64" s="328"/>
      <c r="G64" s="328"/>
      <c r="H64" s="328"/>
      <c r="I64" s="328"/>
      <c r="J64" s="328"/>
      <c r="K64" s="328"/>
      <c r="L64" s="329"/>
      <c r="M64" s="328"/>
      <c r="N64" s="328"/>
      <c r="O64" s="328"/>
      <c r="P64" s="328"/>
      <c r="Q64" s="328"/>
      <c r="R64" s="328"/>
      <c r="S64" s="329"/>
    </row>
    <row r="65" spans="2:19" ht="15.5">
      <c r="B65" s="217"/>
      <c r="C65" s="309" t="s">
        <v>1184</v>
      </c>
      <c r="D65" s="330">
        <v>1</v>
      </c>
      <c r="E65" s="331">
        <v>25713.514999999999</v>
      </c>
      <c r="F65" s="332"/>
      <c r="G65" s="332">
        <f t="shared" ref="G65:G70" si="11">IF($M65&gt;$U$11,($E65-$U$11)*$W$11,"ERROR")</f>
        <v>2335.7210700000001</v>
      </c>
      <c r="H65" s="332"/>
      <c r="I65" s="332">
        <f t="shared" ref="I65:I70" si="12">$E65*$V$13</f>
        <v>6088.9603520000001</v>
      </c>
      <c r="J65" s="332"/>
      <c r="K65" s="332">
        <f t="shared" ref="K65:K70" si="13">E65+ROUND(G65,0)+ROUND(I65,0)</f>
        <v>34138.514999999999</v>
      </c>
      <c r="L65" s="333"/>
      <c r="M65" s="332">
        <f t="shared" ref="M65:M70" si="14">E65</f>
        <v>25713.514999999999</v>
      </c>
      <c r="N65" s="332"/>
      <c r="O65" s="332"/>
      <c r="P65" s="332">
        <f t="shared" ref="P65:P70" si="15">IF($M65&gt;$U$11,($M65-$U$11)*$W$11,"ERROR")</f>
        <v>2335.7210700000001</v>
      </c>
      <c r="Q65" s="332"/>
      <c r="R65" s="332">
        <f t="shared" ref="R65:R70" si="16">SUM(M65:P65)</f>
        <v>28049.236069999999</v>
      </c>
      <c r="S65" s="223"/>
    </row>
    <row r="66" spans="2:19" ht="15.5">
      <c r="B66" s="226"/>
      <c r="C66" s="336"/>
      <c r="D66" s="330">
        <v>2</v>
      </c>
      <c r="E66" s="331">
        <v>27599.751000000004</v>
      </c>
      <c r="F66" s="332"/>
      <c r="G66" s="332">
        <f t="shared" si="11"/>
        <v>2596.0216380000006</v>
      </c>
      <c r="H66" s="332"/>
      <c r="I66" s="332">
        <f t="shared" si="12"/>
        <v>6535.6210368000011</v>
      </c>
      <c r="J66" s="332"/>
      <c r="K66" s="332">
        <f t="shared" si="13"/>
        <v>36731.751000000004</v>
      </c>
      <c r="L66" s="333"/>
      <c r="M66" s="332">
        <f t="shared" si="14"/>
        <v>27599.751000000004</v>
      </c>
      <c r="N66" s="332"/>
      <c r="O66" s="332"/>
      <c r="P66" s="332">
        <f t="shared" si="15"/>
        <v>2596.0216380000006</v>
      </c>
      <c r="Q66" s="332"/>
      <c r="R66" s="332">
        <f t="shared" si="16"/>
        <v>30195.772638000006</v>
      </c>
      <c r="S66" s="223"/>
    </row>
    <row r="67" spans="2:19" ht="15.5">
      <c r="B67" s="226"/>
      <c r="C67" s="336"/>
      <c r="D67" s="330">
        <v>3</v>
      </c>
      <c r="E67" s="331">
        <v>29663.172000000002</v>
      </c>
      <c r="F67" s="332"/>
      <c r="G67" s="332">
        <f>IF($M67&gt;$U$11,($E67-$U$11)*$W$11,"ERROR")</f>
        <v>2880.7737360000006</v>
      </c>
      <c r="H67" s="332"/>
      <c r="I67" s="332">
        <f t="shared" si="12"/>
        <v>7024.2391296000005</v>
      </c>
      <c r="J67" s="332"/>
      <c r="K67" s="332">
        <f t="shared" si="13"/>
        <v>39568.172000000006</v>
      </c>
      <c r="L67" s="333"/>
      <c r="M67" s="332">
        <f t="shared" si="14"/>
        <v>29663.172000000002</v>
      </c>
      <c r="N67" s="332"/>
      <c r="O67" s="332"/>
      <c r="P67" s="332">
        <f t="shared" si="15"/>
        <v>2880.7737360000006</v>
      </c>
      <c r="Q67" s="332"/>
      <c r="R67" s="332">
        <f t="shared" si="16"/>
        <v>32543.945736000001</v>
      </c>
      <c r="S67" s="223"/>
    </row>
    <row r="68" spans="2:19" ht="15.5">
      <c r="B68" s="226"/>
      <c r="C68" s="336"/>
      <c r="D68" s="330">
        <v>4</v>
      </c>
      <c r="E68" s="331">
        <v>31777.0615</v>
      </c>
      <c r="F68" s="332"/>
      <c r="G68" s="332">
        <f t="shared" si="11"/>
        <v>3172.490487</v>
      </c>
      <c r="H68" s="332"/>
      <c r="I68" s="332">
        <f t="shared" si="12"/>
        <v>7524.8081632000003</v>
      </c>
      <c r="J68" s="332"/>
      <c r="K68" s="332">
        <f t="shared" si="13"/>
        <v>42474.061499999996</v>
      </c>
      <c r="L68" s="333"/>
      <c r="M68" s="332">
        <f t="shared" si="14"/>
        <v>31777.0615</v>
      </c>
      <c r="N68" s="332"/>
      <c r="O68" s="332"/>
      <c r="P68" s="332">
        <f t="shared" si="15"/>
        <v>3172.490487</v>
      </c>
      <c r="Q68" s="332"/>
      <c r="R68" s="332">
        <f t="shared" si="16"/>
        <v>34949.551986999999</v>
      </c>
      <c r="S68" s="223"/>
    </row>
    <row r="69" spans="2:19" ht="15.5">
      <c r="B69" s="226"/>
      <c r="C69" s="336"/>
      <c r="D69" s="330">
        <v>5</v>
      </c>
      <c r="E69" s="370">
        <f>34099.33-((34099.33-E68)*0.2)+E53</f>
        <v>35904.876300000004</v>
      </c>
      <c r="F69" s="332"/>
      <c r="G69" s="332">
        <f t="shared" si="11"/>
        <v>3742.1289294000007</v>
      </c>
      <c r="H69" s="332"/>
      <c r="I69" s="332">
        <f t="shared" si="12"/>
        <v>8502.2747078400007</v>
      </c>
      <c r="J69" s="332"/>
      <c r="K69" s="332">
        <f t="shared" si="13"/>
        <v>48148.876300000004</v>
      </c>
      <c r="L69" s="333"/>
      <c r="M69" s="332">
        <f t="shared" si="14"/>
        <v>35904.876300000004</v>
      </c>
      <c r="N69" s="332"/>
      <c r="O69" s="332"/>
      <c r="P69" s="332">
        <f t="shared" si="15"/>
        <v>3742.1289294000007</v>
      </c>
      <c r="Q69" s="332"/>
      <c r="R69" s="332">
        <f t="shared" si="16"/>
        <v>39647.005229400005</v>
      </c>
      <c r="S69" s="223"/>
    </row>
    <row r="70" spans="2:19" ht="15.5">
      <c r="B70" s="226"/>
      <c r="C70" s="336"/>
      <c r="D70" s="330">
        <v>6</v>
      </c>
      <c r="E70" s="331">
        <v>36960.202499999999</v>
      </c>
      <c r="F70" s="332"/>
      <c r="G70" s="332">
        <f t="shared" si="11"/>
        <v>3887.7639450000001</v>
      </c>
      <c r="H70" s="332"/>
      <c r="I70" s="332">
        <f t="shared" si="12"/>
        <v>8752.1759519999996</v>
      </c>
      <c r="J70" s="332"/>
      <c r="K70" s="332">
        <f t="shared" si="13"/>
        <v>49600.202499999999</v>
      </c>
      <c r="L70" s="333"/>
      <c r="M70" s="332">
        <f t="shared" si="14"/>
        <v>36960.202499999999</v>
      </c>
      <c r="N70" s="332"/>
      <c r="O70" s="332"/>
      <c r="P70" s="332">
        <f t="shared" si="15"/>
        <v>3887.7639450000001</v>
      </c>
      <c r="Q70" s="332"/>
      <c r="R70" s="332">
        <f t="shared" si="16"/>
        <v>40847.966444999998</v>
      </c>
      <c r="S70" s="223"/>
    </row>
    <row r="71" spans="2:19" ht="15.5">
      <c r="B71" s="339" t="s">
        <v>1186</v>
      </c>
      <c r="C71" s="336"/>
      <c r="D71" s="330"/>
      <c r="E71" s="331"/>
      <c r="F71" s="332"/>
      <c r="G71" s="332"/>
      <c r="H71" s="332"/>
      <c r="I71" s="332"/>
      <c r="J71" s="332"/>
      <c r="K71" s="332"/>
      <c r="L71" s="333"/>
      <c r="M71" s="340" t="s">
        <v>1187</v>
      </c>
      <c r="N71" s="332"/>
      <c r="O71" s="332"/>
      <c r="P71" s="332"/>
      <c r="Q71" s="332"/>
      <c r="R71" s="332"/>
      <c r="S71" s="223"/>
    </row>
    <row r="72" spans="2:19" ht="15.5">
      <c r="B72" s="226"/>
      <c r="C72" s="336" t="s">
        <v>1188</v>
      </c>
      <c r="D72" s="330">
        <v>1</v>
      </c>
      <c r="E72" s="331">
        <v>38689.485000000001</v>
      </c>
      <c r="F72" s="332"/>
      <c r="G72" s="332">
        <f>IF($M72&gt;$U$11,($E72-$U$11)*$W$11,"ERROR")</f>
        <v>4126.4049300000006</v>
      </c>
      <c r="H72" s="332"/>
      <c r="I72" s="332">
        <f>$E72*$V$13</f>
        <v>9161.670048</v>
      </c>
      <c r="J72" s="332"/>
      <c r="K72" s="332">
        <f>E72+ROUND(G72,0)+ROUND(I72,0)</f>
        <v>51977.485000000001</v>
      </c>
      <c r="L72" s="333"/>
      <c r="M72" s="332">
        <f>E72</f>
        <v>38689.485000000001</v>
      </c>
      <c r="N72" s="332"/>
      <c r="O72" s="332"/>
      <c r="P72" s="332">
        <f>IF($M72&gt;$U$11,($M72-$U$11)*$W$11,"ERROR")</f>
        <v>4126.4049300000006</v>
      </c>
      <c r="Q72" s="332"/>
      <c r="R72" s="332">
        <f>SUM(M72:P72)</f>
        <v>42815.889930000005</v>
      </c>
      <c r="S72" s="223"/>
    </row>
    <row r="73" spans="2:19" ht="15.5">
      <c r="B73" s="226"/>
      <c r="C73" s="336" t="s">
        <v>1189</v>
      </c>
      <c r="D73" s="330">
        <v>2</v>
      </c>
      <c r="E73" s="331">
        <v>40123.875</v>
      </c>
      <c r="F73" s="332"/>
      <c r="G73" s="332">
        <f>IF($M73&gt;$U$11,($E73-$U$11)*$W$11,"ERROR")</f>
        <v>4324.3507500000005</v>
      </c>
      <c r="H73" s="332"/>
      <c r="I73" s="332">
        <f>$E73*$V$13</f>
        <v>9501.3335999999999</v>
      </c>
      <c r="J73" s="332"/>
      <c r="K73" s="332">
        <f>E73+ROUND(G73,0)+ROUND(I73,0)</f>
        <v>53948.875</v>
      </c>
      <c r="L73" s="333"/>
      <c r="M73" s="332">
        <f>E73</f>
        <v>40123.875</v>
      </c>
      <c r="N73" s="332"/>
      <c r="O73" s="332"/>
      <c r="P73" s="332">
        <f>IF($M73&gt;$U$11,($M73-$U$11)*$W$11,"ERROR")</f>
        <v>4324.3507500000005</v>
      </c>
      <c r="Q73" s="332"/>
      <c r="R73" s="332">
        <f>SUM(M73:P73)</f>
        <v>44448.225749999998</v>
      </c>
      <c r="S73" s="223"/>
    </row>
    <row r="74" spans="2:19" ht="15.5">
      <c r="B74" s="226"/>
      <c r="C74" s="336"/>
      <c r="D74" s="330">
        <v>3</v>
      </c>
      <c r="E74" s="331">
        <v>41603.474999999999</v>
      </c>
      <c r="F74" s="332"/>
      <c r="G74" s="332">
        <f>IF($M74&gt;$U$11,($E74-$U$11)*$W$11,"ERROR")</f>
        <v>4528.5355500000005</v>
      </c>
      <c r="H74" s="332"/>
      <c r="I74" s="332">
        <f>$E74*$V$13</f>
        <v>9851.7028800000007</v>
      </c>
      <c r="J74" s="332"/>
      <c r="K74" s="332">
        <f>E74+ROUND(G74,0)+ROUND(I74,0)</f>
        <v>55984.474999999999</v>
      </c>
      <c r="L74" s="333"/>
      <c r="M74" s="332">
        <f>E74</f>
        <v>41603.474999999999</v>
      </c>
      <c r="N74" s="332"/>
      <c r="O74" s="332"/>
      <c r="P74" s="332">
        <f>IF($M74&gt;$U$11,($M74-$U$11)*$W$11,"ERROR")</f>
        <v>4528.5355500000005</v>
      </c>
      <c r="Q74" s="332"/>
      <c r="R74" s="332">
        <f>SUM(M74:P74)</f>
        <v>46132.010549999999</v>
      </c>
      <c r="S74" s="223"/>
    </row>
    <row r="75" spans="2:19" ht="15.5">
      <c r="B75" s="226"/>
      <c r="C75" s="336"/>
      <c r="D75" s="330"/>
      <c r="E75" s="331"/>
      <c r="F75" s="332"/>
      <c r="G75" s="332"/>
      <c r="H75" s="332"/>
      <c r="I75" s="332"/>
      <c r="J75" s="332"/>
      <c r="K75" s="332"/>
      <c r="L75" s="333"/>
      <c r="M75" s="332"/>
      <c r="N75" s="332"/>
      <c r="O75" s="332"/>
      <c r="P75" s="332"/>
      <c r="Q75" s="332"/>
      <c r="R75" s="332"/>
      <c r="S75" s="223"/>
    </row>
    <row r="76" spans="2:19" ht="15.5">
      <c r="B76" s="339" t="s">
        <v>1191</v>
      </c>
      <c r="C76" s="336"/>
      <c r="D76" s="330"/>
      <c r="E76" s="331"/>
      <c r="F76" s="332"/>
      <c r="G76" s="332"/>
      <c r="H76" s="332"/>
      <c r="I76" s="332"/>
      <c r="J76" s="332"/>
      <c r="K76" s="332"/>
      <c r="L76" s="333"/>
      <c r="M76" s="340" t="s">
        <v>1187</v>
      </c>
      <c r="N76" s="332"/>
      <c r="O76" s="332"/>
      <c r="P76" s="332"/>
      <c r="Q76" s="332"/>
      <c r="R76" s="332"/>
      <c r="S76" s="223"/>
    </row>
    <row r="77" spans="2:19" ht="15.5">
      <c r="B77" s="341"/>
      <c r="C77" s="336"/>
      <c r="D77" s="312"/>
      <c r="E77" s="331"/>
      <c r="F77" s="332"/>
      <c r="G77" s="332"/>
      <c r="H77" s="332"/>
      <c r="I77" s="332"/>
      <c r="J77" s="332"/>
      <c r="K77" s="332"/>
      <c r="L77" s="333"/>
      <c r="M77" s="332"/>
      <c r="N77" s="332"/>
      <c r="O77" s="332"/>
      <c r="P77" s="332"/>
      <c r="Q77" s="332"/>
      <c r="R77" s="332"/>
      <c r="S77" s="223"/>
    </row>
    <row r="78" spans="2:19" ht="15.5">
      <c r="B78" s="342" t="s">
        <v>1193</v>
      </c>
      <c r="C78" s="336" t="s">
        <v>1194</v>
      </c>
      <c r="D78" s="343">
        <v>1</v>
      </c>
      <c r="E78" s="331">
        <v>18168.255000000001</v>
      </c>
      <c r="F78" s="332"/>
      <c r="G78" s="332">
        <f t="shared" ref="G78:G83" si="17">IF($M78&gt;$U$11,($E78-$U$11)*$W$11,"ERROR")</f>
        <v>1294.4751900000003</v>
      </c>
      <c r="H78" s="332"/>
      <c r="I78" s="332">
        <f t="shared" ref="I78:I83" si="18">$E78*$V$13</f>
        <v>4302.242784</v>
      </c>
      <c r="J78" s="332"/>
      <c r="K78" s="332">
        <f t="shared" ref="K78:K83" si="19">E78+ROUND(G78,0)+ROUND(I78,0)</f>
        <v>23764.255000000001</v>
      </c>
      <c r="L78" s="333"/>
      <c r="M78" s="332">
        <f t="shared" ref="M78:M83" si="20">E78</f>
        <v>18168.255000000001</v>
      </c>
      <c r="N78" s="332"/>
      <c r="O78" s="332"/>
      <c r="P78" s="332">
        <f t="shared" ref="P78:P83" si="21">IF($M78&gt;$U$11,($M78-$U$11)*$W$11,"ERROR")</f>
        <v>1294.4751900000003</v>
      </c>
      <c r="Q78" s="332"/>
      <c r="R78" s="332">
        <f t="shared" ref="R78:R83" si="22">SUM(M78:P78)</f>
        <v>19462.730190000002</v>
      </c>
      <c r="S78" s="223"/>
    </row>
    <row r="79" spans="2:19" ht="15.5">
      <c r="B79" s="342" t="s">
        <v>1195</v>
      </c>
      <c r="C79" s="336" t="s">
        <v>1196</v>
      </c>
      <c r="D79" s="343">
        <v>2</v>
      </c>
      <c r="E79" s="331">
        <v>20281.822499999998</v>
      </c>
      <c r="F79" s="332"/>
      <c r="G79" s="332">
        <f t="shared" si="17"/>
        <v>1586.1475049999999</v>
      </c>
      <c r="H79" s="332"/>
      <c r="I79" s="332">
        <f t="shared" si="18"/>
        <v>4802.7355680000001</v>
      </c>
      <c r="J79" s="332"/>
      <c r="K79" s="332">
        <f t="shared" si="19"/>
        <v>26670.822499999998</v>
      </c>
      <c r="L79" s="333"/>
      <c r="M79" s="332">
        <f t="shared" si="20"/>
        <v>20281.822499999998</v>
      </c>
      <c r="N79" s="332"/>
      <c r="O79" s="332"/>
      <c r="P79" s="332">
        <f t="shared" si="21"/>
        <v>1586.1475049999999</v>
      </c>
      <c r="Q79" s="332"/>
      <c r="R79" s="332">
        <f t="shared" si="22"/>
        <v>21867.970004999999</v>
      </c>
      <c r="S79" s="223"/>
    </row>
    <row r="80" spans="2:19" ht="15.5">
      <c r="B80" s="344"/>
      <c r="C80" s="336"/>
      <c r="D80" s="343">
        <v>3</v>
      </c>
      <c r="E80" s="331">
        <v>22393.334999999999</v>
      </c>
      <c r="F80" s="332"/>
      <c r="G80" s="332">
        <f t="shared" si="17"/>
        <v>1877.5362299999999</v>
      </c>
      <c r="H80" s="332"/>
      <c r="I80" s="332">
        <f t="shared" si="18"/>
        <v>5302.741728</v>
      </c>
      <c r="J80" s="332"/>
      <c r="K80" s="332">
        <f t="shared" si="19"/>
        <v>29574.334999999999</v>
      </c>
      <c r="L80" s="333"/>
      <c r="M80" s="332">
        <f t="shared" si="20"/>
        <v>22393.334999999999</v>
      </c>
      <c r="N80" s="332"/>
      <c r="O80" s="332"/>
      <c r="P80" s="332">
        <f t="shared" si="21"/>
        <v>1877.5362299999999</v>
      </c>
      <c r="Q80" s="332"/>
      <c r="R80" s="332">
        <f t="shared" si="22"/>
        <v>24270.871230000001</v>
      </c>
      <c r="S80" s="223"/>
    </row>
    <row r="81" spans="2:19" ht="15.5">
      <c r="B81" s="344"/>
      <c r="C81" s="336"/>
      <c r="D81" s="343">
        <v>4</v>
      </c>
      <c r="E81" s="331">
        <v>24506.9025</v>
      </c>
      <c r="F81" s="332"/>
      <c r="G81" s="332">
        <f t="shared" si="17"/>
        <v>2169.2085450000004</v>
      </c>
      <c r="H81" s="332"/>
      <c r="I81" s="332">
        <f t="shared" si="18"/>
        <v>5803.234512</v>
      </c>
      <c r="J81" s="332"/>
      <c r="K81" s="332">
        <f t="shared" si="19"/>
        <v>32478.9025</v>
      </c>
      <c r="L81" s="333"/>
      <c r="M81" s="332">
        <f t="shared" si="20"/>
        <v>24506.9025</v>
      </c>
      <c r="N81" s="332"/>
      <c r="O81" s="332"/>
      <c r="P81" s="332">
        <f t="shared" si="21"/>
        <v>2169.2085450000004</v>
      </c>
      <c r="Q81" s="332"/>
      <c r="R81" s="332">
        <f t="shared" si="22"/>
        <v>26676.111045000001</v>
      </c>
      <c r="S81" s="223"/>
    </row>
    <row r="82" spans="2:19" ht="15.5">
      <c r="B82" s="341"/>
      <c r="C82" s="336"/>
      <c r="D82" s="343">
        <v>5</v>
      </c>
      <c r="E82" s="331">
        <v>26621.497499999998</v>
      </c>
      <c r="F82" s="332"/>
      <c r="G82" s="332">
        <f t="shared" si="17"/>
        <v>2461.0226549999998</v>
      </c>
      <c r="H82" s="332"/>
      <c r="I82" s="332">
        <f t="shared" si="18"/>
        <v>6303.9706079999996</v>
      </c>
      <c r="J82" s="332"/>
      <c r="K82" s="332">
        <f t="shared" si="19"/>
        <v>35386.497499999998</v>
      </c>
      <c r="L82" s="333"/>
      <c r="M82" s="332">
        <f t="shared" si="20"/>
        <v>26621.497499999998</v>
      </c>
      <c r="N82" s="332"/>
      <c r="O82" s="332"/>
      <c r="P82" s="332">
        <f t="shared" si="21"/>
        <v>2461.0226549999998</v>
      </c>
      <c r="Q82" s="332"/>
      <c r="R82" s="332">
        <f t="shared" si="22"/>
        <v>29082.520154999998</v>
      </c>
      <c r="S82" s="223"/>
    </row>
    <row r="83" spans="2:19" ht="15.5">
      <c r="B83" s="341"/>
      <c r="C83" s="336"/>
      <c r="D83" s="343">
        <v>6</v>
      </c>
      <c r="E83" s="331">
        <v>28734.037499999999</v>
      </c>
      <c r="F83" s="332"/>
      <c r="G83" s="332">
        <f t="shared" si="17"/>
        <v>2752.553175</v>
      </c>
      <c r="H83" s="332"/>
      <c r="I83" s="332">
        <f t="shared" si="18"/>
        <v>6804.2200800000001</v>
      </c>
      <c r="J83" s="332"/>
      <c r="K83" s="332">
        <f t="shared" si="19"/>
        <v>38291.037499999999</v>
      </c>
      <c r="L83" s="333"/>
      <c r="M83" s="332">
        <f t="shared" si="20"/>
        <v>28734.037499999999</v>
      </c>
      <c r="N83" s="332"/>
      <c r="O83" s="332"/>
      <c r="P83" s="332">
        <f t="shared" si="21"/>
        <v>2752.553175</v>
      </c>
      <c r="Q83" s="332"/>
      <c r="R83" s="332">
        <f t="shared" si="22"/>
        <v>31486.590674999999</v>
      </c>
      <c r="S83" s="223"/>
    </row>
    <row r="84" spans="2:19" ht="15.5">
      <c r="B84" s="341"/>
      <c r="C84" s="336"/>
      <c r="D84" s="343"/>
      <c r="E84" s="345"/>
      <c r="F84" s="345"/>
      <c r="G84" s="345"/>
      <c r="H84" s="345"/>
      <c r="I84" s="345"/>
      <c r="J84" s="345"/>
      <c r="K84" s="345"/>
      <c r="L84" s="346"/>
      <c r="M84" s="345"/>
      <c r="N84" s="345"/>
      <c r="O84" s="345"/>
      <c r="P84" s="345"/>
      <c r="Q84" s="345"/>
      <c r="R84" s="345"/>
      <c r="S84" s="223"/>
    </row>
    <row r="85" spans="2:19" ht="15.5">
      <c r="B85" s="341"/>
      <c r="C85" s="336"/>
      <c r="D85" s="343"/>
      <c r="E85" s="345"/>
      <c r="F85" s="345"/>
      <c r="G85" s="345"/>
      <c r="H85" s="345"/>
      <c r="I85" s="345"/>
      <c r="J85" s="345"/>
      <c r="K85" s="345"/>
      <c r="L85" s="346"/>
      <c r="M85" s="345"/>
      <c r="N85" s="345"/>
      <c r="O85" s="345"/>
      <c r="P85" s="345"/>
      <c r="Q85" s="345"/>
      <c r="R85" s="345"/>
      <c r="S85" s="223"/>
    </row>
    <row r="86" spans="2:19" ht="16" thickBot="1">
      <c r="B86" s="347"/>
      <c r="C86" s="348"/>
      <c r="D86" s="349"/>
      <c r="E86" s="240"/>
      <c r="F86" s="240"/>
      <c r="G86" s="240"/>
      <c r="H86" s="240"/>
      <c r="I86" s="240"/>
      <c r="J86" s="240"/>
      <c r="K86" s="240"/>
      <c r="L86" s="350"/>
      <c r="M86" s="351"/>
      <c r="N86" s="240"/>
      <c r="O86" s="240"/>
      <c r="P86" s="240"/>
      <c r="Q86" s="240"/>
      <c r="R86" s="240"/>
      <c r="S86" s="242"/>
    </row>
    <row r="90" spans="2:19" ht="15.5">
      <c r="B90" s="217"/>
      <c r="C90" s="309"/>
      <c r="D90" s="309"/>
      <c r="E90" s="310" t="s">
        <v>1180</v>
      </c>
      <c r="F90" s="311"/>
      <c r="G90" s="310"/>
      <c r="H90" s="311"/>
      <c r="I90" s="310"/>
      <c r="J90" s="311"/>
      <c r="K90" s="310"/>
      <c r="L90" s="312"/>
      <c r="M90" s="313" t="s">
        <v>1181</v>
      </c>
      <c r="N90" s="314"/>
      <c r="O90" s="314"/>
      <c r="P90" s="314"/>
      <c r="Q90" s="314"/>
      <c r="R90" s="314"/>
      <c r="S90" s="223"/>
    </row>
    <row r="91" spans="2:19" ht="15.5">
      <c r="B91" s="217"/>
      <c r="C91" s="315" t="s">
        <v>953</v>
      </c>
      <c r="D91" s="315" t="s">
        <v>1007</v>
      </c>
      <c r="E91" s="316" t="s">
        <v>1182</v>
      </c>
      <c r="F91" s="315"/>
      <c r="G91" s="317" t="s">
        <v>1009</v>
      </c>
      <c r="H91" s="315"/>
      <c r="I91" s="316" t="s">
        <v>1183</v>
      </c>
      <c r="J91" s="315"/>
      <c r="K91" s="316" t="s">
        <v>77</v>
      </c>
      <c r="L91" s="318"/>
      <c r="M91" s="319" t="s">
        <v>1182</v>
      </c>
      <c r="N91" s="315"/>
      <c r="O91" s="315"/>
      <c r="P91" s="317" t="s">
        <v>1009</v>
      </c>
      <c r="Q91" s="315"/>
      <c r="R91" s="320" t="s">
        <v>77</v>
      </c>
      <c r="S91" s="223"/>
    </row>
    <row r="92" spans="2:19" ht="16" thickBot="1">
      <c r="B92" s="322"/>
      <c r="C92" s="323"/>
      <c r="D92" s="323"/>
      <c r="E92" s="323"/>
      <c r="F92" s="323"/>
      <c r="G92" s="323"/>
      <c r="H92" s="323"/>
      <c r="I92" s="323"/>
      <c r="J92" s="323"/>
      <c r="K92" s="323"/>
      <c r="L92" s="323"/>
      <c r="M92" s="324"/>
      <c r="N92" s="323"/>
      <c r="O92" s="323"/>
      <c r="P92" s="323"/>
      <c r="Q92" s="323"/>
      <c r="R92" s="323"/>
      <c r="S92" s="242"/>
    </row>
    <row r="93" spans="2:19" ht="15.5">
      <c r="B93" s="327"/>
      <c r="C93" s="328"/>
      <c r="D93" s="328"/>
      <c r="E93" s="328"/>
      <c r="F93" s="328"/>
      <c r="G93" s="328"/>
      <c r="H93" s="328"/>
      <c r="I93" s="328"/>
      <c r="J93" s="328"/>
      <c r="K93" s="328"/>
      <c r="L93" s="329"/>
      <c r="M93" s="328"/>
      <c r="N93" s="328"/>
      <c r="O93" s="328"/>
      <c r="P93" s="328"/>
      <c r="Q93" s="328"/>
      <c r="R93" s="328"/>
      <c r="S93" s="329"/>
    </row>
    <row r="94" spans="2:19" ht="15.5">
      <c r="B94" s="217"/>
      <c r="C94" s="309" t="s">
        <v>1184</v>
      </c>
      <c r="D94" s="330">
        <v>1</v>
      </c>
      <c r="E94" s="331">
        <v>25713.514999999999</v>
      </c>
      <c r="F94" s="332"/>
      <c r="G94" s="332">
        <f t="shared" ref="G94:G99" si="23">IF($M94&gt;$U$11,($E94-$U$11)*$W$11,"ERROR")</f>
        <v>2335.7210700000001</v>
      </c>
      <c r="H94" s="332"/>
      <c r="I94" s="332">
        <f t="shared" ref="I94:I99" si="24">$E94*$V$13</f>
        <v>6088.9603520000001</v>
      </c>
      <c r="J94" s="332"/>
      <c r="K94" s="332">
        <f t="shared" ref="K94:K99" si="25">E94+ROUND(G94,0)+ROUND(I94,0)</f>
        <v>34138.514999999999</v>
      </c>
      <c r="L94" s="333"/>
      <c r="M94" s="332">
        <f t="shared" ref="M94:M99" si="26">E94</f>
        <v>25713.514999999999</v>
      </c>
      <c r="N94" s="332"/>
      <c r="O94" s="332"/>
      <c r="P94" s="332">
        <f t="shared" ref="P94:P99" si="27">IF($M94&gt;$U$11,($M94-$U$11)*$W$11,"ERROR")</f>
        <v>2335.7210700000001</v>
      </c>
      <c r="Q94" s="332"/>
      <c r="R94" s="332">
        <f t="shared" ref="R94:R99" si="28">SUM(M94:P94)</f>
        <v>28049.236069999999</v>
      </c>
      <c r="S94" s="223"/>
    </row>
    <row r="95" spans="2:19" ht="15.5">
      <c r="B95" s="226"/>
      <c r="C95" s="336"/>
      <c r="D95" s="330">
        <v>2</v>
      </c>
      <c r="E95" s="331">
        <v>27599.751000000004</v>
      </c>
      <c r="F95" s="332"/>
      <c r="G95" s="332">
        <f t="shared" si="23"/>
        <v>2596.0216380000006</v>
      </c>
      <c r="H95" s="332"/>
      <c r="I95" s="332">
        <f t="shared" si="24"/>
        <v>6535.6210368000011</v>
      </c>
      <c r="J95" s="332"/>
      <c r="K95" s="332">
        <f t="shared" si="25"/>
        <v>36731.751000000004</v>
      </c>
      <c r="L95" s="333"/>
      <c r="M95" s="332">
        <f t="shared" si="26"/>
        <v>27599.751000000004</v>
      </c>
      <c r="N95" s="332"/>
      <c r="O95" s="332"/>
      <c r="P95" s="332">
        <f t="shared" si="27"/>
        <v>2596.0216380000006</v>
      </c>
      <c r="Q95" s="332"/>
      <c r="R95" s="332">
        <f t="shared" si="28"/>
        <v>30195.772638000006</v>
      </c>
      <c r="S95" s="223"/>
    </row>
    <row r="96" spans="2:19" ht="15.5">
      <c r="B96" s="226"/>
      <c r="C96" s="336"/>
      <c r="D96" s="330">
        <v>3</v>
      </c>
      <c r="E96" s="331">
        <v>29663.172000000002</v>
      </c>
      <c r="F96" s="332"/>
      <c r="G96" s="332">
        <f>IF($M96&gt;$U$11,($E96-$U$11)*$W$11,"ERROR")</f>
        <v>2880.7737360000006</v>
      </c>
      <c r="H96" s="332"/>
      <c r="I96" s="332">
        <f t="shared" si="24"/>
        <v>7024.2391296000005</v>
      </c>
      <c r="J96" s="332"/>
      <c r="K96" s="332">
        <f t="shared" si="25"/>
        <v>39568.172000000006</v>
      </c>
      <c r="L96" s="333"/>
      <c r="M96" s="332">
        <f t="shared" si="26"/>
        <v>29663.172000000002</v>
      </c>
      <c r="N96" s="332"/>
      <c r="O96" s="332"/>
      <c r="P96" s="332">
        <f t="shared" si="27"/>
        <v>2880.7737360000006</v>
      </c>
      <c r="Q96" s="332"/>
      <c r="R96" s="332">
        <f t="shared" si="28"/>
        <v>32543.945736000001</v>
      </c>
      <c r="S96" s="223"/>
    </row>
    <row r="97" spans="2:19" ht="15.5">
      <c r="B97" s="226"/>
      <c r="C97" s="336"/>
      <c r="D97" s="330">
        <v>4</v>
      </c>
      <c r="E97" s="331">
        <v>31777.0615</v>
      </c>
      <c r="F97" s="332"/>
      <c r="G97" s="332">
        <f t="shared" si="23"/>
        <v>3172.490487</v>
      </c>
      <c r="H97" s="332"/>
      <c r="I97" s="332">
        <f t="shared" si="24"/>
        <v>7524.8081632000003</v>
      </c>
      <c r="J97" s="332"/>
      <c r="K97" s="332">
        <f t="shared" si="25"/>
        <v>42474.061499999996</v>
      </c>
      <c r="L97" s="333"/>
      <c r="M97" s="332">
        <f t="shared" si="26"/>
        <v>31777.0615</v>
      </c>
      <c r="N97" s="332"/>
      <c r="O97" s="332"/>
      <c r="P97" s="332">
        <f t="shared" si="27"/>
        <v>3172.490487</v>
      </c>
      <c r="Q97" s="332"/>
      <c r="R97" s="332">
        <f t="shared" si="28"/>
        <v>34949.551986999999</v>
      </c>
      <c r="S97" s="223"/>
    </row>
    <row r="98" spans="2:19" ht="15.5">
      <c r="B98" s="226"/>
      <c r="C98" s="336"/>
      <c r="D98" s="330">
        <v>5</v>
      </c>
      <c r="E98" s="370">
        <f>34099.33-((34099.33-E97)*0.4)+E53</f>
        <v>35440.422599999998</v>
      </c>
      <c r="F98" s="332"/>
      <c r="G98" s="332">
        <f t="shared" si="23"/>
        <v>3678.0343188000002</v>
      </c>
      <c r="H98" s="332"/>
      <c r="I98" s="332">
        <f t="shared" si="24"/>
        <v>8392.2920716799999</v>
      </c>
      <c r="J98" s="332"/>
      <c r="K98" s="332">
        <f t="shared" si="25"/>
        <v>47510.422599999998</v>
      </c>
      <c r="L98" s="333"/>
      <c r="M98" s="332">
        <f t="shared" si="26"/>
        <v>35440.422599999998</v>
      </c>
      <c r="N98" s="332"/>
      <c r="O98" s="332"/>
      <c r="P98" s="332">
        <f t="shared" si="27"/>
        <v>3678.0343188000002</v>
      </c>
      <c r="Q98" s="332"/>
      <c r="R98" s="332">
        <f t="shared" si="28"/>
        <v>39118.456918799995</v>
      </c>
      <c r="S98" s="223"/>
    </row>
    <row r="99" spans="2:19" ht="15.5">
      <c r="B99" s="226"/>
      <c r="C99" s="336"/>
      <c r="D99" s="330">
        <v>6</v>
      </c>
      <c r="E99" s="331">
        <v>36960.202499999999</v>
      </c>
      <c r="F99" s="332"/>
      <c r="G99" s="332">
        <f t="shared" si="23"/>
        <v>3887.7639450000001</v>
      </c>
      <c r="H99" s="332"/>
      <c r="I99" s="332">
        <f t="shared" si="24"/>
        <v>8752.1759519999996</v>
      </c>
      <c r="J99" s="332"/>
      <c r="K99" s="332">
        <f t="shared" si="25"/>
        <v>49600.202499999999</v>
      </c>
      <c r="L99" s="333"/>
      <c r="M99" s="332">
        <f t="shared" si="26"/>
        <v>36960.202499999999</v>
      </c>
      <c r="N99" s="332"/>
      <c r="O99" s="332"/>
      <c r="P99" s="332">
        <f t="shared" si="27"/>
        <v>3887.7639450000001</v>
      </c>
      <c r="Q99" s="332"/>
      <c r="R99" s="332">
        <f t="shared" si="28"/>
        <v>40847.966444999998</v>
      </c>
      <c r="S99" s="223"/>
    </row>
    <row r="100" spans="2:19" ht="15.5">
      <c r="B100" s="339" t="s">
        <v>1186</v>
      </c>
      <c r="C100" s="336"/>
      <c r="D100" s="330"/>
      <c r="E100" s="331"/>
      <c r="F100" s="332"/>
      <c r="G100" s="332"/>
      <c r="H100" s="332"/>
      <c r="I100" s="332"/>
      <c r="J100" s="332"/>
      <c r="K100" s="332"/>
      <c r="L100" s="333"/>
      <c r="M100" s="340" t="s">
        <v>1187</v>
      </c>
      <c r="N100" s="332"/>
      <c r="O100" s="332"/>
      <c r="P100" s="332"/>
      <c r="Q100" s="332"/>
      <c r="R100" s="332"/>
      <c r="S100" s="223"/>
    </row>
    <row r="101" spans="2:19" ht="15.5">
      <c r="B101" s="226"/>
      <c r="C101" s="336" t="s">
        <v>1188</v>
      </c>
      <c r="D101" s="330">
        <v>1</v>
      </c>
      <c r="E101" s="331">
        <v>38689.485000000001</v>
      </c>
      <c r="F101" s="332"/>
      <c r="G101" s="332">
        <f>IF($M101&gt;$U$11,($E101-$U$11)*$W$11,"ERROR")</f>
        <v>4126.4049300000006</v>
      </c>
      <c r="H101" s="332"/>
      <c r="I101" s="332">
        <f>$E101*$V$13</f>
        <v>9161.670048</v>
      </c>
      <c r="J101" s="332"/>
      <c r="K101" s="332">
        <f>E101+ROUND(G101,0)+ROUND(I101,0)</f>
        <v>51977.485000000001</v>
      </c>
      <c r="L101" s="333"/>
      <c r="M101" s="332">
        <f>E101</f>
        <v>38689.485000000001</v>
      </c>
      <c r="N101" s="332"/>
      <c r="O101" s="332"/>
      <c r="P101" s="332">
        <f>IF($M101&gt;$U$11,($M101-$U$11)*$W$11,"ERROR")</f>
        <v>4126.4049300000006</v>
      </c>
      <c r="Q101" s="332"/>
      <c r="R101" s="332">
        <f>SUM(M101:P101)</f>
        <v>42815.889930000005</v>
      </c>
      <c r="S101" s="223"/>
    </row>
    <row r="102" spans="2:19" ht="15.5">
      <c r="B102" s="226"/>
      <c r="C102" s="336" t="s">
        <v>1189</v>
      </c>
      <c r="D102" s="330">
        <v>2</v>
      </c>
      <c r="E102" s="331">
        <v>40123.875</v>
      </c>
      <c r="F102" s="332"/>
      <c r="G102" s="332">
        <f>IF($M102&gt;$U$11,($E102-$U$11)*$W$11,"ERROR")</f>
        <v>4324.3507500000005</v>
      </c>
      <c r="H102" s="332"/>
      <c r="I102" s="332">
        <f>$E102*$V$13</f>
        <v>9501.3335999999999</v>
      </c>
      <c r="J102" s="332"/>
      <c r="K102" s="332">
        <f>E102+ROUND(G102,0)+ROUND(I102,0)</f>
        <v>53948.875</v>
      </c>
      <c r="L102" s="333"/>
      <c r="M102" s="332">
        <f>E102</f>
        <v>40123.875</v>
      </c>
      <c r="N102" s="332"/>
      <c r="O102" s="332"/>
      <c r="P102" s="332">
        <f>IF($M102&gt;$U$11,($M102-$U$11)*$W$11,"ERROR")</f>
        <v>4324.3507500000005</v>
      </c>
      <c r="Q102" s="332"/>
      <c r="R102" s="332">
        <f>SUM(M102:P102)</f>
        <v>44448.225749999998</v>
      </c>
      <c r="S102" s="223"/>
    </row>
    <row r="103" spans="2:19" ht="15.5">
      <c r="B103" s="226"/>
      <c r="C103" s="336"/>
      <c r="D103" s="330">
        <v>3</v>
      </c>
      <c r="E103" s="331">
        <v>41603.474999999999</v>
      </c>
      <c r="F103" s="332"/>
      <c r="G103" s="332">
        <f>IF($M103&gt;$U$11,($E103-$U$11)*$W$11,"ERROR")</f>
        <v>4528.5355500000005</v>
      </c>
      <c r="H103" s="332"/>
      <c r="I103" s="332">
        <f>$E103*$V$13</f>
        <v>9851.7028800000007</v>
      </c>
      <c r="J103" s="332"/>
      <c r="K103" s="332">
        <f>E103+ROUND(G103,0)+ROUND(I103,0)</f>
        <v>55984.474999999999</v>
      </c>
      <c r="L103" s="333"/>
      <c r="M103" s="332">
        <f>E103</f>
        <v>41603.474999999999</v>
      </c>
      <c r="N103" s="332"/>
      <c r="O103" s="332"/>
      <c r="P103" s="332">
        <f>IF($M103&gt;$U$11,($M103-$U$11)*$W$11,"ERROR")</f>
        <v>4528.5355500000005</v>
      </c>
      <c r="Q103" s="332"/>
      <c r="R103" s="332">
        <f>SUM(M103:P103)</f>
        <v>46132.010549999999</v>
      </c>
      <c r="S103" s="223"/>
    </row>
    <row r="104" spans="2:19" ht="15.5">
      <c r="B104" s="226"/>
      <c r="C104" s="336"/>
      <c r="D104" s="330"/>
      <c r="E104" s="331"/>
      <c r="F104" s="332"/>
      <c r="G104" s="332"/>
      <c r="H104" s="332"/>
      <c r="I104" s="332"/>
      <c r="J104" s="332"/>
      <c r="K104" s="332"/>
      <c r="L104" s="333"/>
      <c r="M104" s="332"/>
      <c r="N104" s="332"/>
      <c r="O104" s="332"/>
      <c r="P104" s="332"/>
      <c r="Q104" s="332"/>
      <c r="R104" s="332"/>
      <c r="S104" s="223"/>
    </row>
    <row r="105" spans="2:19" ht="15.5">
      <c r="B105" s="339" t="s">
        <v>1191</v>
      </c>
      <c r="C105" s="336"/>
      <c r="D105" s="330"/>
      <c r="E105" s="331"/>
      <c r="F105" s="332"/>
      <c r="G105" s="332"/>
      <c r="H105" s="332"/>
      <c r="I105" s="332"/>
      <c r="J105" s="332"/>
      <c r="K105" s="332"/>
      <c r="L105" s="333"/>
      <c r="M105" s="340" t="s">
        <v>1187</v>
      </c>
      <c r="N105" s="332"/>
      <c r="O105" s="332"/>
      <c r="P105" s="332"/>
      <c r="Q105" s="332"/>
      <c r="R105" s="332"/>
      <c r="S105" s="223"/>
    </row>
    <row r="106" spans="2:19" ht="15.5">
      <c r="B106" s="341"/>
      <c r="C106" s="336"/>
      <c r="D106" s="312"/>
      <c r="E106" s="331"/>
      <c r="F106" s="332"/>
      <c r="G106" s="332"/>
      <c r="H106" s="332"/>
      <c r="I106" s="332"/>
      <c r="J106" s="332"/>
      <c r="K106" s="332"/>
      <c r="L106" s="333"/>
      <c r="M106" s="332"/>
      <c r="N106" s="332"/>
      <c r="O106" s="332"/>
      <c r="P106" s="332"/>
      <c r="Q106" s="332"/>
      <c r="R106" s="332"/>
      <c r="S106" s="223"/>
    </row>
    <row r="107" spans="2:19" ht="15.5">
      <c r="B107" s="342" t="s">
        <v>1193</v>
      </c>
      <c r="C107" s="336" t="s">
        <v>1194</v>
      </c>
      <c r="D107" s="343">
        <v>1</v>
      </c>
      <c r="E107" s="331">
        <v>18168.255000000001</v>
      </c>
      <c r="F107" s="332"/>
      <c r="G107" s="332">
        <f t="shared" ref="G107:G112" si="29">IF($M107&gt;$U$11,($E107-$U$11)*$W$11,"ERROR")</f>
        <v>1294.4751900000003</v>
      </c>
      <c r="H107" s="332"/>
      <c r="I107" s="332">
        <f t="shared" ref="I107:I112" si="30">$E107*$V$13</f>
        <v>4302.242784</v>
      </c>
      <c r="J107" s="332"/>
      <c r="K107" s="332">
        <f t="shared" ref="K107:K112" si="31">E107+ROUND(G107,0)+ROUND(I107,0)</f>
        <v>23764.255000000001</v>
      </c>
      <c r="L107" s="333"/>
      <c r="M107" s="332">
        <f t="shared" ref="M107:M112" si="32">E107</f>
        <v>18168.255000000001</v>
      </c>
      <c r="N107" s="332"/>
      <c r="O107" s="332"/>
      <c r="P107" s="332">
        <f t="shared" ref="P107:P112" si="33">IF($M107&gt;$U$11,($M107-$U$11)*$W$11,"ERROR")</f>
        <v>1294.4751900000003</v>
      </c>
      <c r="Q107" s="332"/>
      <c r="R107" s="332">
        <f t="shared" ref="R107:R112" si="34">SUM(M107:P107)</f>
        <v>19462.730190000002</v>
      </c>
      <c r="S107" s="223"/>
    </row>
    <row r="108" spans="2:19" ht="15.5">
      <c r="B108" s="342" t="s">
        <v>1195</v>
      </c>
      <c r="C108" s="336" t="s">
        <v>1196</v>
      </c>
      <c r="D108" s="343">
        <v>2</v>
      </c>
      <c r="E108" s="331">
        <v>20281.822499999998</v>
      </c>
      <c r="F108" s="332"/>
      <c r="G108" s="332">
        <f t="shared" si="29"/>
        <v>1586.1475049999999</v>
      </c>
      <c r="H108" s="332"/>
      <c r="I108" s="332">
        <f t="shared" si="30"/>
        <v>4802.7355680000001</v>
      </c>
      <c r="J108" s="332"/>
      <c r="K108" s="332">
        <f t="shared" si="31"/>
        <v>26670.822499999998</v>
      </c>
      <c r="L108" s="333"/>
      <c r="M108" s="332">
        <f t="shared" si="32"/>
        <v>20281.822499999998</v>
      </c>
      <c r="N108" s="332"/>
      <c r="O108" s="332"/>
      <c r="P108" s="332">
        <f t="shared" si="33"/>
        <v>1586.1475049999999</v>
      </c>
      <c r="Q108" s="332"/>
      <c r="R108" s="332">
        <f t="shared" si="34"/>
        <v>21867.970004999999</v>
      </c>
      <c r="S108" s="223"/>
    </row>
    <row r="109" spans="2:19" ht="15.5">
      <c r="B109" s="344"/>
      <c r="C109" s="336"/>
      <c r="D109" s="343">
        <v>3</v>
      </c>
      <c r="E109" s="331">
        <v>22393.334999999999</v>
      </c>
      <c r="F109" s="332"/>
      <c r="G109" s="332">
        <f t="shared" si="29"/>
        <v>1877.5362299999999</v>
      </c>
      <c r="H109" s="332"/>
      <c r="I109" s="332">
        <f t="shared" si="30"/>
        <v>5302.741728</v>
      </c>
      <c r="J109" s="332"/>
      <c r="K109" s="332">
        <f t="shared" si="31"/>
        <v>29574.334999999999</v>
      </c>
      <c r="L109" s="333"/>
      <c r="M109" s="332">
        <f t="shared" si="32"/>
        <v>22393.334999999999</v>
      </c>
      <c r="N109" s="332"/>
      <c r="O109" s="332"/>
      <c r="P109" s="332">
        <f t="shared" si="33"/>
        <v>1877.5362299999999</v>
      </c>
      <c r="Q109" s="332"/>
      <c r="R109" s="332">
        <f t="shared" si="34"/>
        <v>24270.871230000001</v>
      </c>
      <c r="S109" s="223"/>
    </row>
    <row r="110" spans="2:19" ht="15.5">
      <c r="B110" s="344"/>
      <c r="C110" s="336"/>
      <c r="D110" s="343">
        <v>4</v>
      </c>
      <c r="E110" s="331">
        <v>24506.9025</v>
      </c>
      <c r="F110" s="332"/>
      <c r="G110" s="332">
        <f t="shared" si="29"/>
        <v>2169.2085450000004</v>
      </c>
      <c r="H110" s="332"/>
      <c r="I110" s="332">
        <f t="shared" si="30"/>
        <v>5803.234512</v>
      </c>
      <c r="J110" s="332"/>
      <c r="K110" s="332">
        <f t="shared" si="31"/>
        <v>32478.9025</v>
      </c>
      <c r="L110" s="333"/>
      <c r="M110" s="332">
        <f t="shared" si="32"/>
        <v>24506.9025</v>
      </c>
      <c r="N110" s="332"/>
      <c r="O110" s="332"/>
      <c r="P110" s="332">
        <f t="shared" si="33"/>
        <v>2169.2085450000004</v>
      </c>
      <c r="Q110" s="332"/>
      <c r="R110" s="332">
        <f t="shared" si="34"/>
        <v>26676.111045000001</v>
      </c>
      <c r="S110" s="223"/>
    </row>
    <row r="111" spans="2:19" ht="15.5">
      <c r="B111" s="341"/>
      <c r="C111" s="336"/>
      <c r="D111" s="343">
        <v>5</v>
      </c>
      <c r="E111" s="331">
        <v>26621.497499999998</v>
      </c>
      <c r="F111" s="332"/>
      <c r="G111" s="332">
        <f t="shared" si="29"/>
        <v>2461.0226549999998</v>
      </c>
      <c r="H111" s="332"/>
      <c r="I111" s="332">
        <f t="shared" si="30"/>
        <v>6303.9706079999996</v>
      </c>
      <c r="J111" s="332"/>
      <c r="K111" s="332">
        <f t="shared" si="31"/>
        <v>35386.497499999998</v>
      </c>
      <c r="L111" s="333"/>
      <c r="M111" s="332">
        <f t="shared" si="32"/>
        <v>26621.497499999998</v>
      </c>
      <c r="N111" s="332"/>
      <c r="O111" s="332"/>
      <c r="P111" s="332">
        <f t="shared" si="33"/>
        <v>2461.0226549999998</v>
      </c>
      <c r="Q111" s="332"/>
      <c r="R111" s="332">
        <f t="shared" si="34"/>
        <v>29082.520154999998</v>
      </c>
      <c r="S111" s="223"/>
    </row>
    <row r="112" spans="2:19" ht="15.5">
      <c r="B112" s="341"/>
      <c r="C112" s="336"/>
      <c r="D112" s="343">
        <v>6</v>
      </c>
      <c r="E112" s="331">
        <v>28734.037499999999</v>
      </c>
      <c r="F112" s="332"/>
      <c r="G112" s="332">
        <f t="shared" si="29"/>
        <v>2752.553175</v>
      </c>
      <c r="H112" s="332"/>
      <c r="I112" s="332">
        <f t="shared" si="30"/>
        <v>6804.2200800000001</v>
      </c>
      <c r="J112" s="332"/>
      <c r="K112" s="332">
        <f t="shared" si="31"/>
        <v>38291.037499999999</v>
      </c>
      <c r="L112" s="333"/>
      <c r="M112" s="332">
        <f t="shared" si="32"/>
        <v>28734.037499999999</v>
      </c>
      <c r="N112" s="332"/>
      <c r="O112" s="332"/>
      <c r="P112" s="332">
        <f t="shared" si="33"/>
        <v>2752.553175</v>
      </c>
      <c r="Q112" s="332"/>
      <c r="R112" s="332">
        <f t="shared" si="34"/>
        <v>31486.590674999999</v>
      </c>
      <c r="S112" s="223"/>
    </row>
    <row r="113" spans="2:21" ht="15.5">
      <c r="B113" s="341"/>
      <c r="C113" s="336"/>
      <c r="D113" s="343"/>
      <c r="E113" s="345"/>
      <c r="F113" s="345"/>
      <c r="G113" s="345"/>
      <c r="H113" s="345"/>
      <c r="I113" s="345"/>
      <c r="J113" s="345"/>
      <c r="K113" s="345"/>
      <c r="L113" s="346"/>
      <c r="M113" s="345"/>
      <c r="N113" s="345"/>
      <c r="O113" s="345"/>
      <c r="P113" s="345"/>
      <c r="Q113" s="345"/>
      <c r="R113" s="345"/>
      <c r="S113" s="223"/>
    </row>
    <row r="114" spans="2:21" ht="15.5">
      <c r="B114" s="341"/>
      <c r="C114" s="336"/>
      <c r="D114" s="343"/>
      <c r="E114" s="345"/>
      <c r="F114" s="345"/>
      <c r="G114" s="345"/>
      <c r="H114" s="345"/>
      <c r="I114" s="345"/>
      <c r="J114" s="345"/>
      <c r="K114" s="345"/>
      <c r="L114" s="346"/>
      <c r="M114" s="345"/>
      <c r="N114" s="345"/>
      <c r="O114" s="345"/>
      <c r="P114" s="345"/>
      <c r="Q114" s="345"/>
      <c r="R114" s="345"/>
      <c r="S114" s="223"/>
    </row>
    <row r="115" spans="2:21" ht="16" thickBot="1">
      <c r="B115" s="347"/>
      <c r="C115" s="348"/>
      <c r="D115" s="349"/>
      <c r="E115" s="240"/>
      <c r="F115" s="240"/>
      <c r="G115" s="240"/>
      <c r="H115" s="240"/>
      <c r="I115" s="240"/>
      <c r="J115" s="240"/>
      <c r="K115" s="240"/>
      <c r="L115" s="350"/>
      <c r="M115" s="351"/>
      <c r="N115" s="240"/>
      <c r="O115" s="240"/>
      <c r="P115" s="240"/>
      <c r="Q115" s="240"/>
      <c r="R115" s="240"/>
      <c r="S115" s="242"/>
    </row>
    <row r="118" spans="2:21" ht="15.5">
      <c r="B118" s="217"/>
      <c r="C118" s="309"/>
      <c r="D118" s="309"/>
      <c r="E118" s="310" t="s">
        <v>1180</v>
      </c>
      <c r="F118" s="311"/>
      <c r="G118" s="310"/>
      <c r="H118" s="311"/>
      <c r="I118" s="310"/>
      <c r="J118" s="311"/>
      <c r="K118" s="310"/>
      <c r="L118" s="312"/>
      <c r="M118" s="313" t="s">
        <v>1181</v>
      </c>
      <c r="N118" s="314"/>
      <c r="O118" s="314"/>
      <c r="P118" s="314"/>
      <c r="Q118" s="314"/>
      <c r="R118" s="314"/>
      <c r="S118" s="223"/>
    </row>
    <row r="119" spans="2:21" ht="15.5">
      <c r="B119" s="217"/>
      <c r="C119" s="315" t="s">
        <v>953</v>
      </c>
      <c r="D119" s="315" t="s">
        <v>1007</v>
      </c>
      <c r="E119" s="316" t="s">
        <v>1182</v>
      </c>
      <c r="F119" s="315"/>
      <c r="G119" s="317" t="s">
        <v>1009</v>
      </c>
      <c r="H119" s="315"/>
      <c r="I119" s="316" t="s">
        <v>1183</v>
      </c>
      <c r="J119" s="315"/>
      <c r="K119" s="316" t="s">
        <v>77</v>
      </c>
      <c r="L119" s="318"/>
      <c r="M119" s="319" t="s">
        <v>1182</v>
      </c>
      <c r="N119" s="315"/>
      <c r="O119" s="315"/>
      <c r="P119" s="317" t="s">
        <v>1009</v>
      </c>
      <c r="Q119" s="315"/>
      <c r="R119" s="320" t="s">
        <v>77</v>
      </c>
      <c r="S119" s="223"/>
    </row>
    <row r="120" spans="2:21" ht="16" thickBot="1">
      <c r="B120" s="322"/>
      <c r="C120" s="323"/>
      <c r="D120" s="323"/>
      <c r="E120" s="323"/>
      <c r="F120" s="323"/>
      <c r="G120" s="323"/>
      <c r="H120" s="323"/>
      <c r="I120" s="323"/>
      <c r="J120" s="323"/>
      <c r="K120" s="323"/>
      <c r="L120" s="323"/>
      <c r="M120" s="324"/>
      <c r="N120" s="323"/>
      <c r="O120" s="323"/>
      <c r="P120" s="323"/>
      <c r="Q120" s="323"/>
      <c r="R120" s="323"/>
      <c r="S120" s="242"/>
    </row>
    <row r="121" spans="2:21" ht="15.5">
      <c r="B121" s="327"/>
      <c r="C121" s="328"/>
      <c r="D121" s="328"/>
      <c r="E121" s="328"/>
      <c r="F121" s="328"/>
      <c r="G121" s="328"/>
      <c r="H121" s="328"/>
      <c r="I121" s="328"/>
      <c r="J121" s="328"/>
      <c r="K121" s="328"/>
      <c r="L121" s="329"/>
      <c r="M121" s="328"/>
      <c r="N121" s="328"/>
      <c r="O121" s="328"/>
      <c r="P121" s="328"/>
      <c r="Q121" s="328"/>
      <c r="R121" s="328"/>
      <c r="S121" s="329"/>
    </row>
    <row r="122" spans="2:21" ht="15.5">
      <c r="B122" s="217"/>
      <c r="C122" s="309" t="s">
        <v>1184</v>
      </c>
      <c r="D122" s="330">
        <v>1</v>
      </c>
      <c r="E122" s="331">
        <v>25713.514999999999</v>
      </c>
      <c r="F122" s="332"/>
      <c r="G122" s="332">
        <f t="shared" ref="G122:G127" si="35">IF($M122&gt;$U$11,($E122-$U$11)*$W$11,"ERROR")</f>
        <v>2335.7210700000001</v>
      </c>
      <c r="H122" s="332"/>
      <c r="I122" s="332">
        <f t="shared" ref="I122:I127" si="36">$E122*$V$13</f>
        <v>6088.9603520000001</v>
      </c>
      <c r="J122" s="332"/>
      <c r="K122" s="332">
        <f t="shared" ref="K122:K127" si="37">E122+ROUND(G122,0)+ROUND(I122,0)</f>
        <v>34138.514999999999</v>
      </c>
      <c r="L122" s="333"/>
      <c r="M122" s="332">
        <f t="shared" ref="M122:M127" si="38">E122</f>
        <v>25713.514999999999</v>
      </c>
      <c r="N122" s="332"/>
      <c r="O122" s="332"/>
      <c r="P122" s="332">
        <f t="shared" ref="P122:P127" si="39">IF($M122&gt;$U$11,($M122-$U$11)*$W$11,"ERROR")</f>
        <v>2335.7210700000001</v>
      </c>
      <c r="Q122" s="332"/>
      <c r="R122" s="332">
        <f t="shared" ref="R122:R127" si="40">SUM(M122:P122)</f>
        <v>28049.236069999999</v>
      </c>
      <c r="S122" s="223"/>
    </row>
    <row r="123" spans="2:21" ht="15.5">
      <c r="B123" s="226"/>
      <c r="C123" s="336"/>
      <c r="D123" s="330">
        <v>2</v>
      </c>
      <c r="E123" s="331">
        <v>27599.751000000004</v>
      </c>
      <c r="F123" s="332"/>
      <c r="G123" s="332">
        <f t="shared" si="35"/>
        <v>2596.0216380000006</v>
      </c>
      <c r="H123" s="332"/>
      <c r="I123" s="332">
        <f t="shared" si="36"/>
        <v>6535.6210368000011</v>
      </c>
      <c r="J123" s="332"/>
      <c r="K123" s="332">
        <f t="shared" si="37"/>
        <v>36731.751000000004</v>
      </c>
      <c r="L123" s="333"/>
      <c r="M123" s="332">
        <f t="shared" si="38"/>
        <v>27599.751000000004</v>
      </c>
      <c r="N123" s="332"/>
      <c r="O123" s="332"/>
      <c r="P123" s="332">
        <f t="shared" si="39"/>
        <v>2596.0216380000006</v>
      </c>
      <c r="Q123" s="332"/>
      <c r="R123" s="332">
        <f t="shared" si="40"/>
        <v>30195.772638000006</v>
      </c>
      <c r="S123" s="223"/>
    </row>
    <row r="124" spans="2:21" ht="15.5">
      <c r="B124" s="226"/>
      <c r="C124" s="336"/>
      <c r="D124" s="330">
        <v>3</v>
      </c>
      <c r="E124" s="331">
        <v>29663.172000000002</v>
      </c>
      <c r="F124" s="332"/>
      <c r="G124" s="332">
        <f>IF($M124&gt;$U$11,($E124-$U$11)*$W$11,"ERROR")</f>
        <v>2880.7737360000006</v>
      </c>
      <c r="H124" s="332"/>
      <c r="I124" s="332">
        <f t="shared" si="36"/>
        <v>7024.2391296000005</v>
      </c>
      <c r="J124" s="332"/>
      <c r="K124" s="332">
        <f t="shared" si="37"/>
        <v>39568.172000000006</v>
      </c>
      <c r="L124" s="333"/>
      <c r="M124" s="332">
        <f t="shared" si="38"/>
        <v>29663.172000000002</v>
      </c>
      <c r="N124" s="332"/>
      <c r="O124" s="332"/>
      <c r="P124" s="332">
        <f t="shared" si="39"/>
        <v>2880.7737360000006</v>
      </c>
      <c r="Q124" s="332"/>
      <c r="R124" s="332">
        <f t="shared" si="40"/>
        <v>32543.945736000001</v>
      </c>
      <c r="S124" s="223"/>
    </row>
    <row r="125" spans="2:21" ht="15.5">
      <c r="B125" s="226"/>
      <c r="C125" s="336"/>
      <c r="D125" s="330">
        <v>4</v>
      </c>
      <c r="E125" s="331">
        <v>31777.0615</v>
      </c>
      <c r="F125" s="332"/>
      <c r="G125" s="332">
        <f t="shared" si="35"/>
        <v>3172.490487</v>
      </c>
      <c r="H125" s="332"/>
      <c r="I125" s="332">
        <f t="shared" si="36"/>
        <v>7524.8081632000003</v>
      </c>
      <c r="J125" s="332"/>
      <c r="K125" s="332">
        <f t="shared" si="37"/>
        <v>42474.061499999996</v>
      </c>
      <c r="L125" s="333"/>
      <c r="M125" s="332">
        <f t="shared" si="38"/>
        <v>31777.0615</v>
      </c>
      <c r="N125" s="332"/>
      <c r="O125" s="332"/>
      <c r="P125" s="332">
        <f t="shared" si="39"/>
        <v>3172.490487</v>
      </c>
      <c r="Q125" s="332"/>
      <c r="R125" s="332">
        <f t="shared" si="40"/>
        <v>34949.551986999999</v>
      </c>
      <c r="S125" s="223"/>
    </row>
    <row r="126" spans="2:21" ht="15.5">
      <c r="B126" s="226"/>
      <c r="C126" s="336"/>
      <c r="D126" s="330">
        <v>5</v>
      </c>
      <c r="E126" s="370">
        <f>34099.33-((34099.33-E125)*0.29)+E53</f>
        <v>35695.872134999998</v>
      </c>
      <c r="F126" s="332"/>
      <c r="G126" s="332">
        <f t="shared" si="35"/>
        <v>3713.28635463</v>
      </c>
      <c r="H126" s="332"/>
      <c r="I126" s="332">
        <f t="shared" si="36"/>
        <v>8452.7825215680004</v>
      </c>
      <c r="J126" s="332"/>
      <c r="K126" s="332">
        <f t="shared" si="37"/>
        <v>47861.872134999998</v>
      </c>
      <c r="L126" s="333"/>
      <c r="M126" s="332">
        <f t="shared" si="38"/>
        <v>35695.872134999998</v>
      </c>
      <c r="N126" s="332"/>
      <c r="O126" s="332"/>
      <c r="P126" s="332">
        <f t="shared" si="39"/>
        <v>3713.28635463</v>
      </c>
      <c r="Q126" s="332"/>
      <c r="R126" s="332">
        <f t="shared" si="40"/>
        <v>39409.158489629997</v>
      </c>
      <c r="S126" s="223"/>
      <c r="U126" s="283" t="s">
        <v>1209</v>
      </c>
    </row>
    <row r="127" spans="2:21" ht="15.5">
      <c r="B127" s="226"/>
      <c r="C127" s="336"/>
      <c r="D127" s="330">
        <v>6</v>
      </c>
      <c r="E127" s="331">
        <v>36960.202499999999</v>
      </c>
      <c r="F127" s="332"/>
      <c r="G127" s="332">
        <f t="shared" si="35"/>
        <v>3887.7639450000001</v>
      </c>
      <c r="H127" s="332"/>
      <c r="I127" s="332">
        <f t="shared" si="36"/>
        <v>8752.1759519999996</v>
      </c>
      <c r="J127" s="332"/>
      <c r="K127" s="332">
        <f t="shared" si="37"/>
        <v>49600.202499999999</v>
      </c>
      <c r="L127" s="333"/>
      <c r="M127" s="332">
        <f t="shared" si="38"/>
        <v>36960.202499999999</v>
      </c>
      <c r="N127" s="332"/>
      <c r="O127" s="332"/>
      <c r="P127" s="332">
        <f t="shared" si="39"/>
        <v>3887.7639450000001</v>
      </c>
      <c r="Q127" s="332"/>
      <c r="R127" s="332">
        <f t="shared" si="40"/>
        <v>40847.966444999998</v>
      </c>
      <c r="S127" s="223"/>
    </row>
    <row r="128" spans="2:21" ht="15.5">
      <c r="B128" s="339" t="s">
        <v>1186</v>
      </c>
      <c r="C128" s="336"/>
      <c r="D128" s="330"/>
      <c r="E128" s="331"/>
      <c r="F128" s="332"/>
      <c r="G128" s="332"/>
      <c r="H128" s="332"/>
      <c r="I128" s="332"/>
      <c r="J128" s="332"/>
      <c r="K128" s="332"/>
      <c r="L128" s="333"/>
      <c r="M128" s="340" t="s">
        <v>1187</v>
      </c>
      <c r="N128" s="332"/>
      <c r="O128" s="332"/>
      <c r="P128" s="332"/>
      <c r="Q128" s="332"/>
      <c r="R128" s="332"/>
      <c r="S128" s="223"/>
    </row>
    <row r="129" spans="2:19" ht="15.5">
      <c r="B129" s="226"/>
      <c r="C129" s="336" t="s">
        <v>1188</v>
      </c>
      <c r="D129" s="330">
        <v>1</v>
      </c>
      <c r="E129" s="331">
        <v>38689.485000000001</v>
      </c>
      <c r="F129" s="332"/>
      <c r="G129" s="332">
        <f>IF($M129&gt;$U$11,($E129-$U$11)*$W$11,"ERROR")</f>
        <v>4126.4049300000006</v>
      </c>
      <c r="H129" s="332"/>
      <c r="I129" s="332">
        <f>$E129*$V$13</f>
        <v>9161.670048</v>
      </c>
      <c r="J129" s="332"/>
      <c r="K129" s="332">
        <f>E129+ROUND(G129,0)+ROUND(I129,0)</f>
        <v>51977.485000000001</v>
      </c>
      <c r="L129" s="333"/>
      <c r="M129" s="332">
        <f>E129</f>
        <v>38689.485000000001</v>
      </c>
      <c r="N129" s="332"/>
      <c r="O129" s="332"/>
      <c r="P129" s="332">
        <f>IF($M129&gt;$U$11,($M129-$U$11)*$W$11,"ERROR")</f>
        <v>4126.4049300000006</v>
      </c>
      <c r="Q129" s="332"/>
      <c r="R129" s="332">
        <f>SUM(M129:P129)</f>
        <v>42815.889930000005</v>
      </c>
      <c r="S129" s="223"/>
    </row>
    <row r="130" spans="2:19" ht="15.5">
      <c r="B130" s="226"/>
      <c r="C130" s="336" t="s">
        <v>1189</v>
      </c>
      <c r="D130" s="330">
        <v>2</v>
      </c>
      <c r="E130" s="331">
        <v>40123.875</v>
      </c>
      <c r="F130" s="332"/>
      <c r="G130" s="332">
        <f>IF($M130&gt;$U$11,($E130-$U$11)*$W$11,"ERROR")</f>
        <v>4324.3507500000005</v>
      </c>
      <c r="H130" s="332"/>
      <c r="I130" s="332">
        <f>$E130*$V$13</f>
        <v>9501.3335999999999</v>
      </c>
      <c r="J130" s="332"/>
      <c r="K130" s="332">
        <f>E130+ROUND(G130,0)+ROUND(I130,0)</f>
        <v>53948.875</v>
      </c>
      <c r="L130" s="333"/>
      <c r="M130" s="332">
        <f>E130</f>
        <v>40123.875</v>
      </c>
      <c r="N130" s="332"/>
      <c r="O130" s="332"/>
      <c r="P130" s="332">
        <f>IF($M130&gt;$U$11,($M130-$U$11)*$W$11,"ERROR")</f>
        <v>4324.3507500000005</v>
      </c>
      <c r="Q130" s="332"/>
      <c r="R130" s="332">
        <f>SUM(M130:P130)</f>
        <v>44448.225749999998</v>
      </c>
      <c r="S130" s="223"/>
    </row>
    <row r="131" spans="2:19" ht="15.5">
      <c r="B131" s="226"/>
      <c r="C131" s="336"/>
      <c r="D131" s="330">
        <v>3</v>
      </c>
      <c r="E131" s="331">
        <v>41603.474999999999</v>
      </c>
      <c r="F131" s="332"/>
      <c r="G131" s="332">
        <f>IF($M131&gt;$U$11,($E131-$U$11)*$W$11,"ERROR")</f>
        <v>4528.5355500000005</v>
      </c>
      <c r="H131" s="332"/>
      <c r="I131" s="332">
        <f>$E131*$V$13</f>
        <v>9851.7028800000007</v>
      </c>
      <c r="J131" s="332"/>
      <c r="K131" s="332">
        <f>E131+ROUND(G131,0)+ROUND(I131,0)</f>
        <v>55984.474999999999</v>
      </c>
      <c r="L131" s="333"/>
      <c r="M131" s="332">
        <f>E131</f>
        <v>41603.474999999999</v>
      </c>
      <c r="N131" s="332"/>
      <c r="O131" s="332"/>
      <c r="P131" s="332">
        <f>IF($M131&gt;$U$11,($M131-$U$11)*$W$11,"ERROR")</f>
        <v>4528.5355500000005</v>
      </c>
      <c r="Q131" s="332"/>
      <c r="R131" s="332">
        <f>SUM(M131:P131)</f>
        <v>46132.010549999999</v>
      </c>
      <c r="S131" s="223"/>
    </row>
    <row r="132" spans="2:19" ht="15.5">
      <c r="B132" s="226"/>
      <c r="C132" s="336"/>
      <c r="D132" s="330"/>
      <c r="E132" s="331"/>
      <c r="F132" s="332"/>
      <c r="G132" s="332"/>
      <c r="H132" s="332"/>
      <c r="I132" s="332"/>
      <c r="J132" s="332"/>
      <c r="K132" s="332"/>
      <c r="L132" s="333"/>
      <c r="M132" s="332"/>
      <c r="N132" s="332"/>
      <c r="O132" s="332"/>
      <c r="P132" s="332"/>
      <c r="Q132" s="332"/>
      <c r="R132" s="332"/>
      <c r="S132" s="223"/>
    </row>
    <row r="133" spans="2:19" ht="15.5">
      <c r="B133" s="339" t="s">
        <v>1191</v>
      </c>
      <c r="C133" s="336"/>
      <c r="D133" s="330"/>
      <c r="E133" s="331"/>
      <c r="F133" s="332"/>
      <c r="G133" s="332"/>
      <c r="H133" s="332"/>
      <c r="I133" s="332"/>
      <c r="J133" s="332"/>
      <c r="K133" s="332"/>
      <c r="L133" s="333"/>
      <c r="M133" s="340" t="s">
        <v>1187</v>
      </c>
      <c r="N133" s="332"/>
      <c r="O133" s="332"/>
      <c r="P133" s="332"/>
      <c r="Q133" s="332"/>
      <c r="R133" s="332"/>
      <c r="S133" s="223"/>
    </row>
    <row r="134" spans="2:19" ht="15.5">
      <c r="B134" s="341"/>
      <c r="C134" s="336"/>
      <c r="D134" s="312"/>
      <c r="E134" s="331"/>
      <c r="F134" s="332"/>
      <c r="G134" s="332"/>
      <c r="H134" s="332"/>
      <c r="I134" s="332"/>
      <c r="J134" s="332"/>
      <c r="K134" s="332"/>
      <c r="L134" s="333"/>
      <c r="M134" s="332"/>
      <c r="N134" s="332"/>
      <c r="O134" s="332"/>
      <c r="P134" s="332"/>
      <c r="Q134" s="332"/>
      <c r="R134" s="332"/>
      <c r="S134" s="223"/>
    </row>
    <row r="135" spans="2:19" ht="15.5">
      <c r="B135" s="342" t="s">
        <v>1193</v>
      </c>
      <c r="C135" s="336" t="s">
        <v>1194</v>
      </c>
      <c r="D135" s="343">
        <v>1</v>
      </c>
      <c r="E135" s="331">
        <v>18168.255000000001</v>
      </c>
      <c r="F135" s="332"/>
      <c r="G135" s="332">
        <f t="shared" ref="G135:G140" si="41">IF($M135&gt;$U$11,($E135-$U$11)*$W$11,"ERROR")</f>
        <v>1294.4751900000003</v>
      </c>
      <c r="H135" s="332"/>
      <c r="I135" s="332">
        <f t="shared" ref="I135:I140" si="42">$E135*$V$13</f>
        <v>4302.242784</v>
      </c>
      <c r="J135" s="332"/>
      <c r="K135" s="332">
        <f t="shared" ref="K135:K140" si="43">E135+ROUND(G135,0)+ROUND(I135,0)</f>
        <v>23764.255000000001</v>
      </c>
      <c r="L135" s="333"/>
      <c r="M135" s="332">
        <f t="shared" ref="M135:M140" si="44">E135</f>
        <v>18168.255000000001</v>
      </c>
      <c r="N135" s="332"/>
      <c r="O135" s="332"/>
      <c r="P135" s="332">
        <f t="shared" ref="P135:P140" si="45">IF($M135&gt;$U$11,($M135-$U$11)*$W$11,"ERROR")</f>
        <v>1294.4751900000003</v>
      </c>
      <c r="Q135" s="332"/>
      <c r="R135" s="332">
        <f t="shared" ref="R135:R140" si="46">SUM(M135:P135)</f>
        <v>19462.730190000002</v>
      </c>
      <c r="S135" s="223"/>
    </row>
    <row r="136" spans="2:19" ht="15.5">
      <c r="B136" s="342" t="s">
        <v>1195</v>
      </c>
      <c r="C136" s="336" t="s">
        <v>1196</v>
      </c>
      <c r="D136" s="343">
        <v>2</v>
      </c>
      <c r="E136" s="331">
        <v>20281.822499999998</v>
      </c>
      <c r="F136" s="332"/>
      <c r="G136" s="332">
        <f t="shared" si="41"/>
        <v>1586.1475049999999</v>
      </c>
      <c r="H136" s="332"/>
      <c r="I136" s="332">
        <f t="shared" si="42"/>
        <v>4802.7355680000001</v>
      </c>
      <c r="J136" s="332"/>
      <c r="K136" s="332">
        <f t="shared" si="43"/>
        <v>26670.822499999998</v>
      </c>
      <c r="L136" s="333"/>
      <c r="M136" s="332">
        <f t="shared" si="44"/>
        <v>20281.822499999998</v>
      </c>
      <c r="N136" s="332"/>
      <c r="O136" s="332"/>
      <c r="P136" s="332">
        <f t="shared" si="45"/>
        <v>1586.1475049999999</v>
      </c>
      <c r="Q136" s="332"/>
      <c r="R136" s="332">
        <f t="shared" si="46"/>
        <v>21867.970004999999</v>
      </c>
      <c r="S136" s="223"/>
    </row>
    <row r="137" spans="2:19" ht="15.5">
      <c r="B137" s="344"/>
      <c r="C137" s="336"/>
      <c r="D137" s="343">
        <v>3</v>
      </c>
      <c r="E137" s="331">
        <v>22393.334999999999</v>
      </c>
      <c r="F137" s="332"/>
      <c r="G137" s="332">
        <f t="shared" si="41"/>
        <v>1877.5362299999999</v>
      </c>
      <c r="H137" s="332"/>
      <c r="I137" s="332">
        <f t="shared" si="42"/>
        <v>5302.741728</v>
      </c>
      <c r="J137" s="332"/>
      <c r="K137" s="332">
        <f t="shared" si="43"/>
        <v>29574.334999999999</v>
      </c>
      <c r="L137" s="333"/>
      <c r="M137" s="332">
        <f t="shared" si="44"/>
        <v>22393.334999999999</v>
      </c>
      <c r="N137" s="332"/>
      <c r="O137" s="332"/>
      <c r="P137" s="332">
        <f t="shared" si="45"/>
        <v>1877.5362299999999</v>
      </c>
      <c r="Q137" s="332"/>
      <c r="R137" s="332">
        <f t="shared" si="46"/>
        <v>24270.871230000001</v>
      </c>
      <c r="S137" s="223"/>
    </row>
    <row r="138" spans="2:19" ht="15.5">
      <c r="B138" s="344"/>
      <c r="C138" s="336"/>
      <c r="D138" s="343">
        <v>4</v>
      </c>
      <c r="E138" s="331">
        <v>24506.9025</v>
      </c>
      <c r="F138" s="332"/>
      <c r="G138" s="332">
        <f t="shared" si="41"/>
        <v>2169.2085450000004</v>
      </c>
      <c r="H138" s="332"/>
      <c r="I138" s="332">
        <f t="shared" si="42"/>
        <v>5803.234512</v>
      </c>
      <c r="J138" s="332"/>
      <c r="K138" s="332">
        <f t="shared" si="43"/>
        <v>32478.9025</v>
      </c>
      <c r="L138" s="333"/>
      <c r="M138" s="332">
        <f t="shared" si="44"/>
        <v>24506.9025</v>
      </c>
      <c r="N138" s="332"/>
      <c r="O138" s="332"/>
      <c r="P138" s="332">
        <f t="shared" si="45"/>
        <v>2169.2085450000004</v>
      </c>
      <c r="Q138" s="332"/>
      <c r="R138" s="332">
        <f t="shared" si="46"/>
        <v>26676.111045000001</v>
      </c>
      <c r="S138" s="223"/>
    </row>
    <row r="139" spans="2:19" ht="15.5">
      <c r="B139" s="341"/>
      <c r="C139" s="336"/>
      <c r="D139" s="343">
        <v>5</v>
      </c>
      <c r="E139" s="331">
        <v>26621.497499999998</v>
      </c>
      <c r="F139" s="332"/>
      <c r="G139" s="332">
        <f t="shared" si="41"/>
        <v>2461.0226549999998</v>
      </c>
      <c r="H139" s="332"/>
      <c r="I139" s="332">
        <f t="shared" si="42"/>
        <v>6303.9706079999996</v>
      </c>
      <c r="J139" s="332"/>
      <c r="K139" s="332">
        <f t="shared" si="43"/>
        <v>35386.497499999998</v>
      </c>
      <c r="L139" s="333"/>
      <c r="M139" s="332">
        <f t="shared" si="44"/>
        <v>26621.497499999998</v>
      </c>
      <c r="N139" s="332"/>
      <c r="O139" s="332"/>
      <c r="P139" s="332">
        <f t="shared" si="45"/>
        <v>2461.0226549999998</v>
      </c>
      <c r="Q139" s="332"/>
      <c r="R139" s="332">
        <f t="shared" si="46"/>
        <v>29082.520154999998</v>
      </c>
      <c r="S139" s="223"/>
    </row>
    <row r="140" spans="2:19" ht="15.5">
      <c r="B140" s="341"/>
      <c r="C140" s="336"/>
      <c r="D140" s="343">
        <v>6</v>
      </c>
      <c r="E140" s="331">
        <v>28734.037499999999</v>
      </c>
      <c r="F140" s="332"/>
      <c r="G140" s="332">
        <f t="shared" si="41"/>
        <v>2752.553175</v>
      </c>
      <c r="H140" s="332"/>
      <c r="I140" s="332">
        <f t="shared" si="42"/>
        <v>6804.2200800000001</v>
      </c>
      <c r="J140" s="332"/>
      <c r="K140" s="332">
        <f t="shared" si="43"/>
        <v>38291.037499999999</v>
      </c>
      <c r="L140" s="333"/>
      <c r="M140" s="332">
        <f t="shared" si="44"/>
        <v>28734.037499999999</v>
      </c>
      <c r="N140" s="332"/>
      <c r="O140" s="332"/>
      <c r="P140" s="332">
        <f t="shared" si="45"/>
        <v>2752.553175</v>
      </c>
      <c r="Q140" s="332"/>
      <c r="R140" s="332">
        <f t="shared" si="46"/>
        <v>31486.590674999999</v>
      </c>
      <c r="S140" s="223"/>
    </row>
    <row r="141" spans="2:19" ht="15.5">
      <c r="B141" s="341"/>
      <c r="C141" s="336"/>
      <c r="D141" s="343"/>
      <c r="E141" s="345"/>
      <c r="F141" s="345"/>
      <c r="G141" s="345"/>
      <c r="H141" s="345"/>
      <c r="I141" s="345"/>
      <c r="J141" s="345"/>
      <c r="K141" s="345"/>
      <c r="L141" s="346"/>
      <c r="M141" s="345"/>
      <c r="N141" s="345"/>
      <c r="O141" s="345"/>
      <c r="P141" s="345"/>
      <c r="Q141" s="345"/>
      <c r="R141" s="345"/>
      <c r="S141" s="223"/>
    </row>
    <row r="142" spans="2:19" ht="15.5">
      <c r="B142" s="341"/>
      <c r="C142" s="336"/>
      <c r="D142" s="343"/>
      <c r="E142" s="345"/>
      <c r="F142" s="345"/>
      <c r="G142" s="345"/>
      <c r="H142" s="345"/>
      <c r="I142" s="345"/>
      <c r="J142" s="345"/>
      <c r="K142" s="345"/>
      <c r="L142" s="346"/>
      <c r="M142" s="345"/>
      <c r="N142" s="345"/>
      <c r="O142" s="345"/>
      <c r="P142" s="345"/>
      <c r="Q142" s="345"/>
      <c r="R142" s="345"/>
      <c r="S142" s="223"/>
    </row>
    <row r="143" spans="2:19" ht="16" thickBot="1">
      <c r="B143" s="347"/>
      <c r="C143" s="348"/>
      <c r="D143" s="349"/>
      <c r="E143" s="240"/>
      <c r="F143" s="240"/>
      <c r="G143" s="240"/>
      <c r="H143" s="240"/>
      <c r="I143" s="240"/>
      <c r="J143" s="240"/>
      <c r="K143" s="240"/>
      <c r="L143" s="350"/>
      <c r="M143" s="351"/>
      <c r="N143" s="240"/>
      <c r="O143" s="240"/>
      <c r="P143" s="240"/>
      <c r="Q143" s="240"/>
      <c r="R143" s="240"/>
      <c r="S143" s="242"/>
    </row>
    <row r="145" spans="2:21" ht="15.5">
      <c r="B145" s="217"/>
      <c r="C145" s="309"/>
      <c r="D145" s="309"/>
      <c r="E145" s="310" t="s">
        <v>1180</v>
      </c>
      <c r="F145" s="311"/>
      <c r="G145" s="310"/>
      <c r="H145" s="311"/>
      <c r="I145" s="310"/>
      <c r="J145" s="311"/>
      <c r="K145" s="310"/>
      <c r="L145" s="312"/>
      <c r="M145" s="313" t="s">
        <v>1181</v>
      </c>
      <c r="N145" s="314"/>
      <c r="O145" s="314"/>
      <c r="P145" s="314"/>
      <c r="Q145" s="314"/>
      <c r="R145" s="314"/>
      <c r="S145" s="223"/>
    </row>
    <row r="146" spans="2:21" ht="15.5">
      <c r="B146" s="217"/>
      <c r="C146" s="315" t="s">
        <v>953</v>
      </c>
      <c r="D146" s="315" t="s">
        <v>1007</v>
      </c>
      <c r="E146" s="316" t="s">
        <v>1182</v>
      </c>
      <c r="F146" s="315"/>
      <c r="G146" s="317" t="s">
        <v>1009</v>
      </c>
      <c r="H146" s="315"/>
      <c r="I146" s="316" t="s">
        <v>1183</v>
      </c>
      <c r="J146" s="315"/>
      <c r="K146" s="316" t="s">
        <v>77</v>
      </c>
      <c r="L146" s="318"/>
      <c r="M146" s="319" t="s">
        <v>1182</v>
      </c>
      <c r="N146" s="315"/>
      <c r="O146" s="315"/>
      <c r="P146" s="317" t="s">
        <v>1009</v>
      </c>
      <c r="Q146" s="315"/>
      <c r="R146" s="320" t="s">
        <v>77</v>
      </c>
      <c r="S146" s="223"/>
    </row>
    <row r="147" spans="2:21" ht="16" thickBot="1">
      <c r="B147" s="322"/>
      <c r="C147" s="323"/>
      <c r="D147" s="323"/>
      <c r="E147" s="323"/>
      <c r="F147" s="323"/>
      <c r="G147" s="323"/>
      <c r="H147" s="323"/>
      <c r="I147" s="323"/>
      <c r="J147" s="323"/>
      <c r="K147" s="323"/>
      <c r="L147" s="323"/>
      <c r="M147" s="324"/>
      <c r="N147" s="323"/>
      <c r="O147" s="323"/>
      <c r="P147" s="323"/>
      <c r="Q147" s="323"/>
      <c r="R147" s="323"/>
      <c r="S147" s="242"/>
    </row>
    <row r="148" spans="2:21" ht="15.5">
      <c r="B148" s="327"/>
      <c r="C148" s="328"/>
      <c r="D148" s="328"/>
      <c r="E148" s="328"/>
      <c r="F148" s="328"/>
      <c r="G148" s="328"/>
      <c r="H148" s="328"/>
      <c r="I148" s="328"/>
      <c r="J148" s="328"/>
      <c r="K148" s="328"/>
      <c r="L148" s="329"/>
      <c r="M148" s="328"/>
      <c r="N148" s="328"/>
      <c r="O148" s="328"/>
      <c r="P148" s="328"/>
      <c r="Q148" s="328"/>
      <c r="R148" s="328"/>
      <c r="S148" s="329"/>
    </row>
    <row r="149" spans="2:21" ht="15.5">
      <c r="B149" s="217"/>
      <c r="C149" s="309" t="s">
        <v>1184</v>
      </c>
      <c r="D149" s="330">
        <v>1</v>
      </c>
      <c r="E149" s="331">
        <v>25713.514999999999</v>
      </c>
      <c r="F149" s="332"/>
      <c r="G149" s="332">
        <f t="shared" ref="G149:G154" si="47">IF($M149&gt;$U$11,($E149-$U$11)*$W$11,"ERROR")</f>
        <v>2335.7210700000001</v>
      </c>
      <c r="H149" s="332"/>
      <c r="I149" s="332">
        <f t="shared" ref="I149:I154" si="48">$E149*$V$13</f>
        <v>6088.9603520000001</v>
      </c>
      <c r="J149" s="332"/>
      <c r="K149" s="332">
        <f t="shared" ref="K149:K154" si="49">E149+ROUND(G149,0)+ROUND(I149,0)</f>
        <v>34138.514999999999</v>
      </c>
      <c r="L149" s="333"/>
      <c r="M149" s="332">
        <f t="shared" ref="M149:M154" si="50">E149</f>
        <v>25713.514999999999</v>
      </c>
      <c r="N149" s="332"/>
      <c r="O149" s="332"/>
      <c r="P149" s="332">
        <f t="shared" ref="P149:P154" si="51">IF($M149&gt;$U$11,($M149-$U$11)*$W$11,"ERROR")</f>
        <v>2335.7210700000001</v>
      </c>
      <c r="Q149" s="332"/>
      <c r="R149" s="332">
        <f t="shared" ref="R149:R154" si="52">SUM(M149:P149)</f>
        <v>28049.236069999999</v>
      </c>
      <c r="S149" s="223"/>
    </row>
    <row r="150" spans="2:21" ht="15.5">
      <c r="B150" s="226"/>
      <c r="C150" s="336"/>
      <c r="D150" s="330">
        <v>2</v>
      </c>
      <c r="E150" s="331">
        <v>27599.751000000004</v>
      </c>
      <c r="F150" s="332"/>
      <c r="G150" s="332">
        <f t="shared" si="47"/>
        <v>2596.0216380000006</v>
      </c>
      <c r="H150" s="332"/>
      <c r="I150" s="332">
        <f t="shared" si="48"/>
        <v>6535.6210368000011</v>
      </c>
      <c r="J150" s="332"/>
      <c r="K150" s="332">
        <f t="shared" si="49"/>
        <v>36731.751000000004</v>
      </c>
      <c r="L150" s="333"/>
      <c r="M150" s="332">
        <f t="shared" si="50"/>
        <v>27599.751000000004</v>
      </c>
      <c r="N150" s="332"/>
      <c r="O150" s="332"/>
      <c r="P150" s="332">
        <f t="shared" si="51"/>
        <v>2596.0216380000006</v>
      </c>
      <c r="Q150" s="332"/>
      <c r="R150" s="332">
        <f t="shared" si="52"/>
        <v>30195.772638000006</v>
      </c>
      <c r="S150" s="223"/>
    </row>
    <row r="151" spans="2:21" ht="15.5">
      <c r="B151" s="226"/>
      <c r="C151" s="336"/>
      <c r="D151" s="330">
        <v>3</v>
      </c>
      <c r="E151" s="331">
        <v>29663.172000000002</v>
      </c>
      <c r="F151" s="332"/>
      <c r="G151" s="332">
        <f>IF($M151&gt;$U$11,($E151-$U$11)*$W$11,"ERROR")</f>
        <v>2880.7737360000006</v>
      </c>
      <c r="H151" s="332"/>
      <c r="I151" s="332">
        <f t="shared" si="48"/>
        <v>7024.2391296000005</v>
      </c>
      <c r="J151" s="332"/>
      <c r="K151" s="332">
        <f t="shared" si="49"/>
        <v>39568.172000000006</v>
      </c>
      <c r="L151" s="333"/>
      <c r="M151" s="332">
        <f t="shared" si="50"/>
        <v>29663.172000000002</v>
      </c>
      <c r="N151" s="332"/>
      <c r="O151" s="332"/>
      <c r="P151" s="332">
        <f t="shared" si="51"/>
        <v>2880.7737360000006</v>
      </c>
      <c r="Q151" s="332"/>
      <c r="R151" s="332">
        <f t="shared" si="52"/>
        <v>32543.945736000001</v>
      </c>
      <c r="S151" s="223"/>
    </row>
    <row r="152" spans="2:21" ht="15.5">
      <c r="B152" s="226"/>
      <c r="C152" s="336"/>
      <c r="D152" s="330">
        <v>4</v>
      </c>
      <c r="E152" s="331">
        <v>31777.0615</v>
      </c>
      <c r="F152" s="332"/>
      <c r="G152" s="332">
        <f t="shared" si="47"/>
        <v>3172.490487</v>
      </c>
      <c r="H152" s="332"/>
      <c r="I152" s="332">
        <f t="shared" si="48"/>
        <v>7524.8081632000003</v>
      </c>
      <c r="J152" s="332"/>
      <c r="K152" s="332">
        <f t="shared" si="49"/>
        <v>42474.061499999996</v>
      </c>
      <c r="L152" s="333"/>
      <c r="M152" s="332">
        <f t="shared" si="50"/>
        <v>31777.0615</v>
      </c>
      <c r="N152" s="332"/>
      <c r="O152" s="332"/>
      <c r="P152" s="332">
        <f t="shared" si="51"/>
        <v>3172.490487</v>
      </c>
      <c r="Q152" s="332"/>
      <c r="R152" s="332">
        <f t="shared" si="52"/>
        <v>34949.551986999999</v>
      </c>
      <c r="S152" s="223"/>
    </row>
    <row r="153" spans="2:21" ht="15.5">
      <c r="B153" s="226"/>
      <c r="C153" s="336"/>
      <c r="D153" s="330">
        <v>5</v>
      </c>
      <c r="E153" s="370">
        <f>34099.33-((34099.33-E152)*0.29)</f>
        <v>33425.872134999998</v>
      </c>
      <c r="F153" s="332"/>
      <c r="G153" s="332">
        <f t="shared" si="47"/>
        <v>3400.0263546299998</v>
      </c>
      <c r="H153" s="332"/>
      <c r="I153" s="332">
        <f t="shared" si="48"/>
        <v>7915.2465215679995</v>
      </c>
      <c r="J153" s="332"/>
      <c r="K153" s="332">
        <f t="shared" si="49"/>
        <v>44740.872134999998</v>
      </c>
      <c r="L153" s="333"/>
      <c r="M153" s="332">
        <f t="shared" si="50"/>
        <v>33425.872134999998</v>
      </c>
      <c r="N153" s="332"/>
      <c r="O153" s="332"/>
      <c r="P153" s="332">
        <f t="shared" si="51"/>
        <v>3400.0263546299998</v>
      </c>
      <c r="Q153" s="332"/>
      <c r="R153" s="332">
        <f t="shared" si="52"/>
        <v>36825.898489629995</v>
      </c>
      <c r="S153" s="223"/>
      <c r="U153" s="283" t="s">
        <v>1210</v>
      </c>
    </row>
    <row r="154" spans="2:21" ht="15.5">
      <c r="B154" s="226"/>
      <c r="C154" s="336"/>
      <c r="D154" s="330">
        <v>6</v>
      </c>
      <c r="E154" s="331">
        <v>36960.202499999999</v>
      </c>
      <c r="F154" s="332"/>
      <c r="G154" s="332">
        <f t="shared" si="47"/>
        <v>3887.7639450000001</v>
      </c>
      <c r="H154" s="332"/>
      <c r="I154" s="332">
        <f t="shared" si="48"/>
        <v>8752.1759519999996</v>
      </c>
      <c r="J154" s="332"/>
      <c r="K154" s="332">
        <f t="shared" si="49"/>
        <v>49600.202499999999</v>
      </c>
      <c r="L154" s="333"/>
      <c r="M154" s="332">
        <f t="shared" si="50"/>
        <v>36960.202499999999</v>
      </c>
      <c r="N154" s="332"/>
      <c r="O154" s="332"/>
      <c r="P154" s="332">
        <f t="shared" si="51"/>
        <v>3887.7639450000001</v>
      </c>
      <c r="Q154" s="332"/>
      <c r="R154" s="332">
        <f t="shared" si="52"/>
        <v>40847.966444999998</v>
      </c>
      <c r="S154" s="223"/>
    </row>
    <row r="155" spans="2:21" ht="15.5">
      <c r="B155" s="339" t="s">
        <v>1186</v>
      </c>
      <c r="C155" s="336"/>
      <c r="D155" s="330"/>
      <c r="E155" s="331"/>
      <c r="F155" s="332"/>
      <c r="G155" s="332"/>
      <c r="H155" s="332"/>
      <c r="I155" s="332"/>
      <c r="J155" s="332"/>
      <c r="K155" s="332"/>
      <c r="L155" s="333"/>
      <c r="M155" s="340" t="s">
        <v>1187</v>
      </c>
      <c r="N155" s="332"/>
      <c r="O155" s="332"/>
      <c r="P155" s="332"/>
      <c r="Q155" s="332"/>
      <c r="R155" s="332"/>
      <c r="S155" s="223"/>
    </row>
    <row r="156" spans="2:21" ht="15.5">
      <c r="B156" s="226"/>
      <c r="C156" s="336" t="s">
        <v>1188</v>
      </c>
      <c r="D156" s="330">
        <v>1</v>
      </c>
      <c r="E156" s="331">
        <v>38689.485000000001</v>
      </c>
      <c r="F156" s="332"/>
      <c r="G156" s="332">
        <f>IF($M156&gt;$U$11,($E156-$U$11)*$W$11,"ERROR")</f>
        <v>4126.4049300000006</v>
      </c>
      <c r="H156" s="332"/>
      <c r="I156" s="332">
        <f>$E156*$V$13</f>
        <v>9161.670048</v>
      </c>
      <c r="J156" s="332"/>
      <c r="K156" s="332">
        <f>E156+ROUND(G156,0)+ROUND(I156,0)</f>
        <v>51977.485000000001</v>
      </c>
      <c r="L156" s="333"/>
      <c r="M156" s="332">
        <f>E156</f>
        <v>38689.485000000001</v>
      </c>
      <c r="N156" s="332"/>
      <c r="O156" s="332"/>
      <c r="P156" s="332">
        <f>IF($M156&gt;$U$11,($M156-$U$11)*$W$11,"ERROR")</f>
        <v>4126.4049300000006</v>
      </c>
      <c r="Q156" s="332"/>
      <c r="R156" s="332">
        <f>SUM(M156:P156)</f>
        <v>42815.889930000005</v>
      </c>
      <c r="S156" s="223"/>
    </row>
    <row r="157" spans="2:21" ht="15.5">
      <c r="B157" s="226"/>
      <c r="C157" s="336" t="s">
        <v>1189</v>
      </c>
      <c r="D157" s="330">
        <v>2</v>
      </c>
      <c r="E157" s="331">
        <v>40123.875</v>
      </c>
      <c r="F157" s="332"/>
      <c r="G157" s="332">
        <f>IF($M157&gt;$U$11,($E157-$U$11)*$W$11,"ERROR")</f>
        <v>4324.3507500000005</v>
      </c>
      <c r="H157" s="332"/>
      <c r="I157" s="332">
        <f>$E157*$V$13</f>
        <v>9501.3335999999999</v>
      </c>
      <c r="J157" s="332"/>
      <c r="K157" s="332">
        <f>E157+ROUND(G157,0)+ROUND(I157,0)</f>
        <v>53948.875</v>
      </c>
      <c r="L157" s="333"/>
      <c r="M157" s="332">
        <f>E157</f>
        <v>40123.875</v>
      </c>
      <c r="N157" s="332"/>
      <c r="O157" s="332"/>
      <c r="P157" s="332">
        <f>IF($M157&gt;$U$11,($M157-$U$11)*$W$11,"ERROR")</f>
        <v>4324.3507500000005</v>
      </c>
      <c r="Q157" s="332"/>
      <c r="R157" s="332">
        <f>SUM(M157:P157)</f>
        <v>44448.225749999998</v>
      </c>
      <c r="S157" s="223"/>
    </row>
    <row r="158" spans="2:21" ht="15.5">
      <c r="B158" s="226"/>
      <c r="C158" s="336"/>
      <c r="D158" s="330">
        <v>3</v>
      </c>
      <c r="E158" s="331">
        <v>41603.474999999999</v>
      </c>
      <c r="F158" s="332"/>
      <c r="G158" s="332">
        <f>IF($M158&gt;$U$11,($E158-$U$11)*$W$11,"ERROR")</f>
        <v>4528.5355500000005</v>
      </c>
      <c r="H158" s="332"/>
      <c r="I158" s="332">
        <f>$E158*$V$13</f>
        <v>9851.7028800000007</v>
      </c>
      <c r="J158" s="332"/>
      <c r="K158" s="332">
        <f>E158+ROUND(G158,0)+ROUND(I158,0)</f>
        <v>55984.474999999999</v>
      </c>
      <c r="L158" s="333"/>
      <c r="M158" s="332">
        <f>E158</f>
        <v>41603.474999999999</v>
      </c>
      <c r="N158" s="332"/>
      <c r="O158" s="332"/>
      <c r="P158" s="332">
        <f>IF($M158&gt;$U$11,($M158-$U$11)*$W$11,"ERROR")</f>
        <v>4528.5355500000005</v>
      </c>
      <c r="Q158" s="332"/>
      <c r="R158" s="332">
        <f>SUM(M158:P158)</f>
        <v>46132.010549999999</v>
      </c>
      <c r="S158" s="223"/>
    </row>
    <row r="159" spans="2:21" ht="15.5">
      <c r="B159" s="226"/>
      <c r="C159" s="336"/>
      <c r="D159" s="330"/>
      <c r="E159" s="331"/>
      <c r="F159" s="332"/>
      <c r="G159" s="332"/>
      <c r="H159" s="332"/>
      <c r="I159" s="332"/>
      <c r="J159" s="332"/>
      <c r="K159" s="332"/>
      <c r="L159" s="333"/>
      <c r="M159" s="332"/>
      <c r="N159" s="332"/>
      <c r="O159" s="332"/>
      <c r="P159" s="332"/>
      <c r="Q159" s="332"/>
      <c r="R159" s="332"/>
      <c r="S159" s="223"/>
    </row>
    <row r="160" spans="2:21" ht="15.5">
      <c r="B160" s="339" t="s">
        <v>1191</v>
      </c>
      <c r="C160" s="336"/>
      <c r="D160" s="330"/>
      <c r="E160" s="331"/>
      <c r="F160" s="332"/>
      <c r="G160" s="332"/>
      <c r="H160" s="332"/>
      <c r="I160" s="332"/>
      <c r="J160" s="332"/>
      <c r="K160" s="332"/>
      <c r="L160" s="333"/>
      <c r="M160" s="340" t="s">
        <v>1187</v>
      </c>
      <c r="N160" s="332"/>
      <c r="O160" s="332"/>
      <c r="P160" s="332"/>
      <c r="Q160" s="332"/>
      <c r="R160" s="332"/>
      <c r="S160" s="223"/>
    </row>
    <row r="161" spans="2:19" ht="15.5">
      <c r="B161" s="341"/>
      <c r="C161" s="336"/>
      <c r="D161" s="312"/>
      <c r="E161" s="331"/>
      <c r="F161" s="332"/>
      <c r="G161" s="332"/>
      <c r="H161" s="332"/>
      <c r="I161" s="332"/>
      <c r="J161" s="332"/>
      <c r="K161" s="332"/>
      <c r="L161" s="333"/>
      <c r="M161" s="332"/>
      <c r="N161" s="332"/>
      <c r="O161" s="332"/>
      <c r="P161" s="332"/>
      <c r="Q161" s="332"/>
      <c r="R161" s="332"/>
      <c r="S161" s="223"/>
    </row>
    <row r="162" spans="2:19" ht="15.5">
      <c r="B162" s="342" t="s">
        <v>1193</v>
      </c>
      <c r="C162" s="336" t="s">
        <v>1194</v>
      </c>
      <c r="D162" s="343">
        <v>1</v>
      </c>
      <c r="E162" s="331">
        <v>18168.255000000001</v>
      </c>
      <c r="F162" s="332"/>
      <c r="G162" s="332">
        <f t="shared" ref="G162:G167" si="53">IF($M162&gt;$U$11,($E162-$U$11)*$W$11,"ERROR")</f>
        <v>1294.4751900000003</v>
      </c>
      <c r="H162" s="332"/>
      <c r="I162" s="332">
        <f t="shared" ref="I162:I167" si="54">$E162*$V$13</f>
        <v>4302.242784</v>
      </c>
      <c r="J162" s="332"/>
      <c r="K162" s="332">
        <f t="shared" ref="K162:K167" si="55">E162+ROUND(G162,0)+ROUND(I162,0)</f>
        <v>23764.255000000001</v>
      </c>
      <c r="L162" s="333"/>
      <c r="M162" s="332">
        <f t="shared" ref="M162:M167" si="56">E162</f>
        <v>18168.255000000001</v>
      </c>
      <c r="N162" s="332"/>
      <c r="O162" s="332"/>
      <c r="P162" s="332">
        <f t="shared" ref="P162:P167" si="57">IF($M162&gt;$U$11,($M162-$U$11)*$W$11,"ERROR")</f>
        <v>1294.4751900000003</v>
      </c>
      <c r="Q162" s="332"/>
      <c r="R162" s="332">
        <f t="shared" ref="R162:R167" si="58">SUM(M162:P162)</f>
        <v>19462.730190000002</v>
      </c>
      <c r="S162" s="223"/>
    </row>
    <row r="163" spans="2:19" ht="15.5">
      <c r="B163" s="342" t="s">
        <v>1195</v>
      </c>
      <c r="C163" s="336" t="s">
        <v>1196</v>
      </c>
      <c r="D163" s="343">
        <v>2</v>
      </c>
      <c r="E163" s="331">
        <v>20281.822499999998</v>
      </c>
      <c r="F163" s="332"/>
      <c r="G163" s="332">
        <f t="shared" si="53"/>
        <v>1586.1475049999999</v>
      </c>
      <c r="H163" s="332"/>
      <c r="I163" s="332">
        <f t="shared" si="54"/>
        <v>4802.7355680000001</v>
      </c>
      <c r="J163" s="332"/>
      <c r="K163" s="332">
        <f t="shared" si="55"/>
        <v>26670.822499999998</v>
      </c>
      <c r="L163" s="333"/>
      <c r="M163" s="332">
        <f t="shared" si="56"/>
        <v>20281.822499999998</v>
      </c>
      <c r="N163" s="332"/>
      <c r="O163" s="332"/>
      <c r="P163" s="332">
        <f t="shared" si="57"/>
        <v>1586.1475049999999</v>
      </c>
      <c r="Q163" s="332"/>
      <c r="R163" s="332">
        <f t="shared" si="58"/>
        <v>21867.970004999999</v>
      </c>
      <c r="S163" s="223"/>
    </row>
    <row r="164" spans="2:19" ht="15.5">
      <c r="B164" s="344"/>
      <c r="C164" s="336"/>
      <c r="D164" s="343">
        <v>3</v>
      </c>
      <c r="E164" s="331">
        <v>22393.334999999999</v>
      </c>
      <c r="F164" s="332"/>
      <c r="G164" s="332">
        <f t="shared" si="53"/>
        <v>1877.5362299999999</v>
      </c>
      <c r="H164" s="332"/>
      <c r="I164" s="332">
        <f t="shared" si="54"/>
        <v>5302.741728</v>
      </c>
      <c r="J164" s="332"/>
      <c r="K164" s="332">
        <f t="shared" si="55"/>
        <v>29574.334999999999</v>
      </c>
      <c r="L164" s="333"/>
      <c r="M164" s="332">
        <f t="shared" si="56"/>
        <v>22393.334999999999</v>
      </c>
      <c r="N164" s="332"/>
      <c r="O164" s="332"/>
      <c r="P164" s="332">
        <f t="shared" si="57"/>
        <v>1877.5362299999999</v>
      </c>
      <c r="Q164" s="332"/>
      <c r="R164" s="332">
        <f t="shared" si="58"/>
        <v>24270.871230000001</v>
      </c>
      <c r="S164" s="223"/>
    </row>
    <row r="165" spans="2:19" ht="15.5">
      <c r="B165" s="344"/>
      <c r="C165" s="336"/>
      <c r="D165" s="343">
        <v>4</v>
      </c>
      <c r="E165" s="331">
        <v>24506.9025</v>
      </c>
      <c r="F165" s="332"/>
      <c r="G165" s="332">
        <f t="shared" si="53"/>
        <v>2169.2085450000004</v>
      </c>
      <c r="H165" s="332"/>
      <c r="I165" s="332">
        <f t="shared" si="54"/>
        <v>5803.234512</v>
      </c>
      <c r="J165" s="332"/>
      <c r="K165" s="332">
        <f t="shared" si="55"/>
        <v>32478.9025</v>
      </c>
      <c r="L165" s="333"/>
      <c r="M165" s="332">
        <f t="shared" si="56"/>
        <v>24506.9025</v>
      </c>
      <c r="N165" s="332"/>
      <c r="O165" s="332"/>
      <c r="P165" s="332">
        <f t="shared" si="57"/>
        <v>2169.2085450000004</v>
      </c>
      <c r="Q165" s="332"/>
      <c r="R165" s="332">
        <f t="shared" si="58"/>
        <v>26676.111045000001</v>
      </c>
      <c r="S165" s="223"/>
    </row>
    <row r="166" spans="2:19" ht="15.5">
      <c r="B166" s="341"/>
      <c r="C166" s="336"/>
      <c r="D166" s="343">
        <v>5</v>
      </c>
      <c r="E166" s="331">
        <v>26621.497499999998</v>
      </c>
      <c r="F166" s="332"/>
      <c r="G166" s="332">
        <f t="shared" si="53"/>
        <v>2461.0226549999998</v>
      </c>
      <c r="H166" s="332"/>
      <c r="I166" s="332">
        <f t="shared" si="54"/>
        <v>6303.9706079999996</v>
      </c>
      <c r="J166" s="332"/>
      <c r="K166" s="332">
        <f t="shared" si="55"/>
        <v>35386.497499999998</v>
      </c>
      <c r="L166" s="333"/>
      <c r="M166" s="332">
        <f t="shared" si="56"/>
        <v>26621.497499999998</v>
      </c>
      <c r="N166" s="332"/>
      <c r="O166" s="332"/>
      <c r="P166" s="332">
        <f t="shared" si="57"/>
        <v>2461.0226549999998</v>
      </c>
      <c r="Q166" s="332"/>
      <c r="R166" s="332">
        <f t="shared" si="58"/>
        <v>29082.520154999998</v>
      </c>
      <c r="S166" s="223"/>
    </row>
    <row r="167" spans="2:19" ht="15.5">
      <c r="B167" s="341"/>
      <c r="C167" s="336"/>
      <c r="D167" s="343">
        <v>6</v>
      </c>
      <c r="E167" s="331">
        <v>28734.037499999999</v>
      </c>
      <c r="F167" s="332"/>
      <c r="G167" s="332">
        <f t="shared" si="53"/>
        <v>2752.553175</v>
      </c>
      <c r="H167" s="332"/>
      <c r="I167" s="332">
        <f t="shared" si="54"/>
        <v>6804.2200800000001</v>
      </c>
      <c r="J167" s="332"/>
      <c r="K167" s="332">
        <f t="shared" si="55"/>
        <v>38291.037499999999</v>
      </c>
      <c r="L167" s="333"/>
      <c r="M167" s="332">
        <f t="shared" si="56"/>
        <v>28734.037499999999</v>
      </c>
      <c r="N167" s="332"/>
      <c r="O167" s="332"/>
      <c r="P167" s="332">
        <f t="shared" si="57"/>
        <v>2752.553175</v>
      </c>
      <c r="Q167" s="332"/>
      <c r="R167" s="332">
        <f t="shared" si="58"/>
        <v>31486.590674999999</v>
      </c>
      <c r="S167" s="223"/>
    </row>
    <row r="168" spans="2:19" ht="15.5">
      <c r="B168" s="341"/>
      <c r="C168" s="336"/>
      <c r="D168" s="343"/>
      <c r="E168" s="345"/>
      <c r="F168" s="345"/>
      <c r="G168" s="345"/>
      <c r="H168" s="345"/>
      <c r="I168" s="345"/>
      <c r="J168" s="345"/>
      <c r="K168" s="345"/>
      <c r="L168" s="346"/>
      <c r="M168" s="345"/>
      <c r="N168" s="345"/>
      <c r="O168" s="345"/>
      <c r="P168" s="345"/>
      <c r="Q168" s="345"/>
      <c r="R168" s="345"/>
      <c r="S168" s="223"/>
    </row>
    <row r="169" spans="2:19" ht="15.5">
      <c r="B169" s="341"/>
      <c r="C169" s="336"/>
      <c r="D169" s="343"/>
      <c r="E169" s="345"/>
      <c r="F169" s="345"/>
      <c r="G169" s="345"/>
      <c r="H169" s="345"/>
      <c r="I169" s="345"/>
      <c r="J169" s="345"/>
      <c r="K169" s="345"/>
      <c r="L169" s="346"/>
      <c r="M169" s="345"/>
      <c r="N169" s="345"/>
      <c r="O169" s="345"/>
      <c r="P169" s="345"/>
      <c r="Q169" s="345"/>
      <c r="R169" s="345"/>
      <c r="S169" s="223"/>
    </row>
    <row r="170" spans="2:19" ht="16" thickBot="1">
      <c r="B170" s="347"/>
      <c r="C170" s="348"/>
      <c r="D170" s="349"/>
      <c r="E170" s="240"/>
      <c r="F170" s="240"/>
      <c r="G170" s="240"/>
      <c r="H170" s="240"/>
      <c r="I170" s="240"/>
      <c r="J170" s="240"/>
      <c r="K170" s="240"/>
      <c r="L170" s="350"/>
      <c r="M170" s="351"/>
      <c r="N170" s="240"/>
      <c r="O170" s="240"/>
      <c r="P170" s="240"/>
      <c r="Q170" s="240"/>
      <c r="R170" s="240"/>
      <c r="S170" s="242"/>
    </row>
  </sheetData>
  <mergeCells count="3">
    <mergeCell ref="B3:S4"/>
    <mergeCell ref="B5:S5"/>
    <mergeCell ref="B6:S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F104"/>
  <sheetViews>
    <sheetView topLeftCell="A29" zoomScale="75" workbookViewId="0">
      <selection activeCell="E70" sqref="E70"/>
    </sheetView>
  </sheetViews>
  <sheetFormatPr defaultColWidth="7.58203125" defaultRowHeight="15.5"/>
  <cols>
    <col min="1" max="1" width="7.58203125" style="695"/>
    <col min="2" max="2" width="13.5" style="695" customWidth="1"/>
    <col min="3" max="3" width="10.33203125" style="695" customWidth="1"/>
    <col min="4" max="4" width="2.58203125" style="695" customWidth="1"/>
    <col min="5" max="5" width="10.08203125" style="695" customWidth="1"/>
    <col min="6" max="6" width="2.75" style="695" customWidth="1"/>
    <col min="7" max="7" width="8.5" style="695" bestFit="1" customWidth="1"/>
    <col min="8" max="8" width="3.08203125" style="695" customWidth="1"/>
    <col min="9" max="9" width="8.25" style="695" bestFit="1" customWidth="1"/>
    <col min="10" max="10" width="2.75" style="695" customWidth="1"/>
    <col min="11" max="11" width="8.58203125" style="695" bestFit="1" customWidth="1"/>
    <col min="12" max="12" width="3.08203125" style="695" customWidth="1"/>
    <col min="13" max="13" width="10.08203125" style="695" customWidth="1"/>
    <col min="14" max="14" width="2.75" style="695" customWidth="1"/>
    <col min="15" max="15" width="5.75" style="695" customWidth="1"/>
    <col min="16" max="16" width="3.08203125" style="695" customWidth="1"/>
    <col min="17" max="17" width="7.33203125" style="695" customWidth="1"/>
    <col min="18" max="18" width="2.58203125" style="695" customWidth="1"/>
    <col min="19" max="19" width="10.58203125" style="695" customWidth="1"/>
    <col min="20" max="20" width="3.08203125" style="695" customWidth="1"/>
    <col min="21" max="21" width="11.25" style="695" customWidth="1"/>
    <col min="22" max="22" width="8.58203125" style="695" customWidth="1"/>
    <col min="23" max="23" width="11.75" style="695" customWidth="1"/>
    <col min="24" max="24" width="8.58203125" style="695" customWidth="1"/>
    <col min="25" max="31" width="7.58203125" style="695"/>
    <col min="32" max="32" width="8.75" style="695" bestFit="1" customWidth="1"/>
    <col min="33" max="16384" width="7.58203125" style="695"/>
  </cols>
  <sheetData>
    <row r="1" spans="1:58" ht="23">
      <c r="A1" s="761" t="s">
        <v>1034</v>
      </c>
      <c r="B1" s="762"/>
      <c r="C1" s="762"/>
      <c r="D1" s="762"/>
      <c r="E1" s="762"/>
      <c r="F1" s="762"/>
      <c r="G1" s="762"/>
      <c r="H1" s="762"/>
      <c r="I1" s="762"/>
      <c r="J1" s="762"/>
      <c r="K1" s="762"/>
      <c r="L1" s="762"/>
      <c r="M1" s="762"/>
      <c r="N1" s="762"/>
      <c r="O1" s="762"/>
      <c r="P1" s="762"/>
      <c r="Q1" s="762"/>
      <c r="R1" s="762"/>
      <c r="S1" s="763" t="s">
        <v>1035</v>
      </c>
      <c r="T1" s="764"/>
      <c r="U1" s="765"/>
      <c r="V1" s="616"/>
      <c r="W1" s="616"/>
      <c r="X1" s="616"/>
      <c r="Y1" s="616"/>
      <c r="Z1" s="616"/>
      <c r="AA1" s="616"/>
      <c r="AB1" s="616"/>
      <c r="AC1" s="616"/>
      <c r="AD1" s="616"/>
      <c r="AE1" s="616"/>
      <c r="AF1" s="616"/>
      <c r="AG1" s="616"/>
      <c r="AH1" s="616"/>
      <c r="AI1" s="616"/>
      <c r="AJ1" s="616"/>
      <c r="AK1" s="616"/>
      <c r="AL1" s="616"/>
      <c r="AM1" s="616"/>
      <c r="AN1" s="616"/>
      <c r="AO1" s="616"/>
      <c r="AP1" s="616"/>
      <c r="AQ1" s="616"/>
      <c r="AR1" s="616"/>
      <c r="AS1" s="616"/>
      <c r="AT1" s="616"/>
      <c r="AU1" s="616"/>
      <c r="AV1" s="616"/>
      <c r="AW1" s="616"/>
      <c r="AX1" s="616"/>
      <c r="AY1" s="616"/>
      <c r="AZ1" s="616"/>
      <c r="BA1" s="616"/>
      <c r="BB1" s="616"/>
      <c r="BC1" s="616"/>
      <c r="BD1" s="616"/>
      <c r="BE1" s="616"/>
      <c r="BF1" s="616"/>
    </row>
    <row r="2" spans="1:58" s="623" customFormat="1" ht="25" thickBot="1">
      <c r="A2" s="766" t="s">
        <v>1211</v>
      </c>
      <c r="B2" s="767"/>
      <c r="C2" s="767"/>
      <c r="D2" s="767"/>
      <c r="E2" s="767"/>
      <c r="F2" s="768"/>
      <c r="G2" s="767"/>
      <c r="H2" s="767"/>
      <c r="I2" s="767"/>
      <c r="J2" s="767"/>
      <c r="K2" s="767"/>
      <c r="L2" s="767"/>
      <c r="M2" s="767"/>
      <c r="N2" s="767"/>
      <c r="O2" s="767"/>
      <c r="P2" s="767"/>
      <c r="Q2" s="767"/>
      <c r="R2" s="767"/>
      <c r="S2" s="767"/>
      <c r="T2" s="769"/>
      <c r="U2" s="622"/>
      <c r="V2" s="770"/>
      <c r="W2" s="622"/>
      <c r="X2" s="622"/>
      <c r="Y2" s="622"/>
      <c r="Z2" s="622"/>
      <c r="AA2" s="622"/>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c r="BA2" s="622"/>
      <c r="BB2" s="622"/>
      <c r="BC2" s="622"/>
      <c r="BD2" s="622"/>
      <c r="BE2" s="622"/>
      <c r="BF2" s="622"/>
    </row>
    <row r="3" spans="1:58" s="623" customFormat="1" ht="21.75" customHeight="1">
      <c r="A3" s="629" t="s">
        <v>983</v>
      </c>
      <c r="B3" s="630"/>
      <c r="C3" s="630"/>
      <c r="D3" s="630"/>
      <c r="E3" s="630"/>
      <c r="F3" s="631"/>
      <c r="G3" s="630"/>
      <c r="H3" s="630"/>
      <c r="I3" s="630"/>
      <c r="J3" s="630"/>
      <c r="K3" s="630"/>
      <c r="L3" s="630"/>
      <c r="M3" s="630"/>
      <c r="N3" s="630"/>
      <c r="O3" s="630"/>
      <c r="P3" s="630"/>
      <c r="Q3" s="630"/>
      <c r="R3" s="630"/>
      <c r="S3" s="630"/>
      <c r="T3" s="632"/>
      <c r="U3" s="622"/>
      <c r="V3" s="770"/>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row>
    <row r="4" spans="1:58">
      <c r="A4" s="737"/>
      <c r="B4" s="771"/>
      <c r="C4" s="771"/>
      <c r="D4" s="771"/>
      <c r="E4" s="771"/>
      <c r="F4" s="771"/>
      <c r="G4" s="771"/>
      <c r="H4" s="771"/>
      <c r="I4" s="771"/>
      <c r="J4" s="771"/>
      <c r="K4" s="771"/>
      <c r="L4" s="771"/>
      <c r="M4" s="771"/>
      <c r="N4" s="771"/>
      <c r="O4" s="771"/>
      <c r="P4" s="771"/>
      <c r="Q4" s="771"/>
      <c r="R4" s="771"/>
      <c r="S4" s="771"/>
      <c r="T4" s="772"/>
      <c r="U4" s="616"/>
      <c r="V4" s="616"/>
      <c r="W4" s="616"/>
      <c r="X4" s="616"/>
      <c r="Y4" s="616"/>
      <c r="Z4" s="61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row>
    <row r="5" spans="1:58" s="623" customFormat="1" ht="21.75" customHeight="1" thickBot="1">
      <c r="A5" s="737" t="s">
        <v>1212</v>
      </c>
      <c r="B5" s="634"/>
      <c r="C5" s="634"/>
      <c r="D5" s="634"/>
      <c r="E5" s="634"/>
      <c r="F5" s="635"/>
      <c r="G5" s="634"/>
      <c r="H5" s="634"/>
      <c r="I5" s="634"/>
      <c r="J5" s="634"/>
      <c r="K5" s="634"/>
      <c r="L5" s="634"/>
      <c r="M5" s="634"/>
      <c r="N5" s="634"/>
      <c r="O5" s="634"/>
      <c r="P5" s="634"/>
      <c r="Q5" s="634"/>
      <c r="R5" s="634"/>
      <c r="S5" s="634"/>
      <c r="T5" s="636"/>
      <c r="U5" s="622"/>
      <c r="V5" s="770"/>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row>
    <row r="6" spans="1:58" s="623" customFormat="1" ht="21.75" customHeight="1" thickBot="1">
      <c r="A6" s="641" t="s">
        <v>1213</v>
      </c>
      <c r="B6" s="642"/>
      <c r="C6" s="642"/>
      <c r="D6" s="642"/>
      <c r="E6" s="642"/>
      <c r="F6" s="642"/>
      <c r="G6" s="642"/>
      <c r="H6" s="642"/>
      <c r="I6" s="642"/>
      <c r="J6" s="642"/>
      <c r="K6" s="642"/>
      <c r="L6" s="642"/>
      <c r="M6" s="642"/>
      <c r="N6" s="642"/>
      <c r="O6" s="642"/>
      <c r="P6" s="642"/>
      <c r="Q6" s="642"/>
      <c r="R6" s="642"/>
      <c r="S6" s="642"/>
      <c r="T6" s="643"/>
      <c r="U6" s="622"/>
      <c r="V6" s="773" t="s">
        <v>994</v>
      </c>
      <c r="W6" s="774">
        <v>1</v>
      </c>
      <c r="X6" s="775">
        <v>2</v>
      </c>
      <c r="Y6" s="622"/>
      <c r="Z6" s="622"/>
      <c r="AA6" s="622"/>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row>
    <row r="7" spans="1:58" s="661" customFormat="1">
      <c r="A7" s="776"/>
      <c r="B7" s="1167" t="s">
        <v>990</v>
      </c>
      <c r="C7" s="1167"/>
      <c r="D7" s="777"/>
      <c r="E7" s="778" t="s">
        <v>1214</v>
      </c>
      <c r="F7" s="777"/>
      <c r="G7" s="777"/>
      <c r="H7" s="777"/>
      <c r="I7" s="777"/>
      <c r="J7" s="777"/>
      <c r="K7" s="777"/>
      <c r="L7" s="777"/>
      <c r="M7" s="777"/>
      <c r="N7" s="779" t="s">
        <v>1215</v>
      </c>
      <c r="O7" s="780"/>
      <c r="P7" s="780"/>
      <c r="Q7" s="781"/>
      <c r="R7" s="781"/>
      <c r="S7" s="781"/>
      <c r="T7" s="782"/>
      <c r="U7" s="660"/>
      <c r="V7" s="783">
        <v>0</v>
      </c>
      <c r="W7" s="784">
        <v>0</v>
      </c>
      <c r="X7" s="785">
        <v>0</v>
      </c>
      <c r="Y7" s="660"/>
      <c r="Z7" s="660"/>
      <c r="AA7" s="660"/>
      <c r="AB7" s="660"/>
      <c r="AC7" s="660"/>
      <c r="AD7" s="660"/>
      <c r="AE7" s="660"/>
      <c r="AF7" s="660"/>
      <c r="AG7" s="660"/>
      <c r="AH7" s="660"/>
      <c r="AI7" s="660"/>
      <c r="AJ7" s="660"/>
      <c r="AK7" s="660"/>
      <c r="AL7" s="660"/>
      <c r="AM7" s="660"/>
      <c r="AN7" s="660"/>
      <c r="AO7" s="660"/>
      <c r="AP7" s="660"/>
      <c r="AQ7" s="660"/>
      <c r="AR7" s="660"/>
      <c r="AS7" s="660"/>
      <c r="AT7" s="660"/>
      <c r="AU7" s="660"/>
      <c r="AV7" s="660"/>
      <c r="AW7" s="660"/>
      <c r="AX7" s="660"/>
      <c r="AY7" s="660"/>
      <c r="AZ7" s="660"/>
      <c r="BA7" s="660"/>
      <c r="BB7" s="660"/>
      <c r="BC7" s="660"/>
      <c r="BD7" s="660"/>
      <c r="BE7" s="660"/>
      <c r="BF7" s="660"/>
    </row>
    <row r="8" spans="1:58" s="661" customFormat="1">
      <c r="A8" s="783"/>
      <c r="B8" s="784" t="s">
        <v>994</v>
      </c>
      <c r="C8" s="784">
        <f>V8</f>
        <v>6240</v>
      </c>
      <c r="D8" s="784"/>
      <c r="E8" s="786" t="s">
        <v>995</v>
      </c>
      <c r="F8" s="784"/>
      <c r="G8" s="784"/>
      <c r="H8" s="784"/>
      <c r="I8" s="784"/>
      <c r="J8" s="784"/>
      <c r="K8" s="784"/>
      <c r="L8" s="784"/>
      <c r="M8" s="784"/>
      <c r="N8" s="784"/>
      <c r="O8" s="784"/>
      <c r="P8" s="784"/>
      <c r="Q8" s="784"/>
      <c r="R8" s="784"/>
      <c r="S8" s="784"/>
      <c r="T8" s="785"/>
      <c r="U8" s="787" t="s">
        <v>999</v>
      </c>
      <c r="V8" s="783">
        <v>6240</v>
      </c>
      <c r="W8" s="788">
        <v>0</v>
      </c>
      <c r="X8" s="789">
        <v>0</v>
      </c>
      <c r="Y8" s="660"/>
      <c r="Z8" s="660"/>
      <c r="AA8" s="660"/>
      <c r="AB8" s="660"/>
      <c r="AC8" s="660"/>
      <c r="AD8" s="660"/>
      <c r="AE8" s="660"/>
      <c r="AF8" s="660"/>
      <c r="AG8" s="660"/>
      <c r="AH8" s="660"/>
      <c r="AI8" s="660"/>
      <c r="AJ8" s="660"/>
      <c r="AK8" s="660"/>
      <c r="AL8" s="660"/>
      <c r="AM8" s="660"/>
      <c r="AN8" s="660"/>
      <c r="AO8" s="660"/>
      <c r="AP8" s="660"/>
      <c r="AQ8" s="660"/>
      <c r="AR8" s="660"/>
      <c r="AS8" s="660"/>
      <c r="AT8" s="660"/>
      <c r="AU8" s="660"/>
      <c r="AV8" s="660"/>
      <c r="AW8" s="660"/>
      <c r="AX8" s="660"/>
      <c r="AY8" s="660"/>
      <c r="AZ8" s="660"/>
      <c r="BA8" s="660"/>
      <c r="BB8" s="660"/>
      <c r="BC8" s="660"/>
      <c r="BD8" s="660"/>
      <c r="BE8" s="660"/>
      <c r="BF8" s="660"/>
    </row>
    <row r="9" spans="1:58" s="661" customFormat="1">
      <c r="A9" s="783" t="s">
        <v>999</v>
      </c>
      <c r="B9" s="784">
        <f>V8</f>
        <v>6240</v>
      </c>
      <c r="C9" s="784">
        <f>V9</f>
        <v>8840</v>
      </c>
      <c r="D9" s="784"/>
      <c r="E9" s="784">
        <f>V8</f>
        <v>6240</v>
      </c>
      <c r="F9" s="790" t="s">
        <v>997</v>
      </c>
      <c r="G9" s="791">
        <f>$W$8*100</f>
        <v>0</v>
      </c>
      <c r="H9" s="790" t="s">
        <v>998</v>
      </c>
      <c r="I9" s="784" t="s">
        <v>985</v>
      </c>
      <c r="J9" s="784"/>
      <c r="K9" s="784"/>
      <c r="L9" s="784"/>
      <c r="M9" s="784"/>
      <c r="N9" s="784"/>
      <c r="O9" s="784"/>
      <c r="P9" s="784"/>
      <c r="Q9" s="792" t="s">
        <v>1041</v>
      </c>
      <c r="R9" s="784"/>
      <c r="S9" s="791">
        <f>$X$8*100</f>
        <v>0</v>
      </c>
      <c r="T9" s="793" t="s">
        <v>998</v>
      </c>
      <c r="U9" s="787" t="s">
        <v>1000</v>
      </c>
      <c r="V9" s="783">
        <v>8840</v>
      </c>
      <c r="W9" s="788">
        <v>0</v>
      </c>
      <c r="X9" s="789">
        <v>0</v>
      </c>
      <c r="Y9" s="660"/>
      <c r="Z9" s="660"/>
      <c r="AA9" s="660"/>
      <c r="AB9" s="660"/>
      <c r="AC9" s="660"/>
      <c r="AD9" s="660"/>
      <c r="AE9" s="660"/>
      <c r="AF9" s="660"/>
      <c r="AG9" s="660"/>
      <c r="AH9" s="660"/>
      <c r="AI9" s="660"/>
      <c r="AJ9" s="660"/>
      <c r="AK9" s="660"/>
      <c r="AL9" s="660"/>
      <c r="AM9" s="660"/>
      <c r="AN9" s="660"/>
      <c r="AO9" s="660"/>
      <c r="AP9" s="660"/>
      <c r="AQ9" s="660"/>
      <c r="AR9" s="660"/>
      <c r="AS9" s="660"/>
      <c r="AT9" s="660"/>
      <c r="AU9" s="660"/>
      <c r="AV9" s="660"/>
      <c r="AW9" s="660"/>
      <c r="AX9" s="660"/>
      <c r="AY9" s="660"/>
      <c r="AZ9" s="660"/>
      <c r="BA9" s="660"/>
      <c r="BB9" s="660"/>
      <c r="BC9" s="660"/>
      <c r="BD9" s="660"/>
      <c r="BE9" s="660"/>
      <c r="BF9" s="660"/>
    </row>
    <row r="10" spans="1:58" s="661" customFormat="1">
      <c r="A10" s="783" t="s">
        <v>1216</v>
      </c>
      <c r="B10" s="784">
        <f>V9</f>
        <v>8840</v>
      </c>
      <c r="C10" s="784">
        <f>V10</f>
        <v>50270</v>
      </c>
      <c r="D10" s="784"/>
      <c r="E10" s="784">
        <f>V8</f>
        <v>6240</v>
      </c>
      <c r="F10" s="790" t="s">
        <v>997</v>
      </c>
      <c r="G10" s="791">
        <f>$W$9*100</f>
        <v>0</v>
      </c>
      <c r="H10" s="790" t="s">
        <v>998</v>
      </c>
      <c r="I10" s="784">
        <f>+V9-V8</f>
        <v>2600</v>
      </c>
      <c r="J10" s="794" t="s">
        <v>997</v>
      </c>
      <c r="K10" s="795">
        <f>+$X$8*100</f>
        <v>0</v>
      </c>
      <c r="L10" s="794" t="s">
        <v>998</v>
      </c>
      <c r="M10" s="784"/>
      <c r="N10" s="784"/>
      <c r="O10" s="784"/>
      <c r="P10" s="784"/>
      <c r="Q10" s="792" t="s">
        <v>1041</v>
      </c>
      <c r="R10" s="784"/>
      <c r="S10" s="791">
        <f>$X$9*100</f>
        <v>0</v>
      </c>
      <c r="T10" s="793" t="s">
        <v>998</v>
      </c>
      <c r="U10" s="787" t="s">
        <v>1217</v>
      </c>
      <c r="V10" s="783">
        <v>50270</v>
      </c>
      <c r="W10" s="788">
        <v>0</v>
      </c>
      <c r="X10" s="789">
        <v>0.13800000000000001</v>
      </c>
      <c r="Y10" s="660"/>
      <c r="Z10" s="660"/>
      <c r="AA10" s="660"/>
      <c r="AB10" s="660"/>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row>
    <row r="11" spans="1:58" s="661" customFormat="1" ht="16" thickBot="1">
      <c r="A11" s="796" t="s">
        <v>1217</v>
      </c>
      <c r="B11" s="797">
        <f>V10</f>
        <v>50270</v>
      </c>
      <c r="C11" s="797" t="s">
        <v>996</v>
      </c>
      <c r="D11" s="797"/>
      <c r="E11" s="797">
        <f>V8</f>
        <v>6240</v>
      </c>
      <c r="F11" s="798" t="s">
        <v>997</v>
      </c>
      <c r="G11" s="799">
        <f>$W$10*100</f>
        <v>0</v>
      </c>
      <c r="H11" s="798" t="s">
        <v>998</v>
      </c>
      <c r="I11" s="797">
        <f>+V9-V8</f>
        <v>2600</v>
      </c>
      <c r="J11" s="800" t="s">
        <v>997</v>
      </c>
      <c r="K11" s="801">
        <f>+$X$8*100</f>
        <v>0</v>
      </c>
      <c r="L11" s="800" t="s">
        <v>998</v>
      </c>
      <c r="M11" s="797">
        <v>50270</v>
      </c>
      <c r="N11" s="797" t="s">
        <v>997</v>
      </c>
      <c r="O11" s="801">
        <f>+X9*100</f>
        <v>0</v>
      </c>
      <c r="P11" s="797" t="s">
        <v>998</v>
      </c>
      <c r="Q11" s="802" t="s">
        <v>1041</v>
      </c>
      <c r="R11" s="797"/>
      <c r="S11" s="799">
        <f>$X$10*100</f>
        <v>13.8</v>
      </c>
      <c r="T11" s="803" t="s">
        <v>998</v>
      </c>
      <c r="U11" s="660"/>
      <c r="V11" s="783"/>
      <c r="W11" s="788"/>
      <c r="X11" s="789"/>
      <c r="Y11" s="660"/>
      <c r="Z11" s="660"/>
      <c r="AA11" s="660"/>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row>
    <row r="12" spans="1:58" s="661" customFormat="1" ht="16" thickBot="1">
      <c r="A12" s="804"/>
      <c r="B12" s="805"/>
      <c r="C12" s="805"/>
      <c r="D12" s="806"/>
      <c r="E12" s="805"/>
      <c r="F12" s="806"/>
      <c r="G12" s="805"/>
      <c r="H12" s="806"/>
      <c r="I12" s="805"/>
      <c r="J12" s="806"/>
      <c r="K12" s="805"/>
      <c r="L12" s="806"/>
      <c r="M12" s="806"/>
      <c r="N12" s="806"/>
      <c r="O12" s="806"/>
      <c r="P12" s="806"/>
      <c r="Q12" s="806"/>
      <c r="R12" s="806"/>
      <c r="S12" s="806"/>
      <c r="T12" s="806"/>
      <c r="U12" s="660"/>
      <c r="V12" s="807" t="s">
        <v>1005</v>
      </c>
      <c r="W12" s="808">
        <v>0.25900000000000001</v>
      </c>
      <c r="X12" s="809"/>
      <c r="Y12" s="660"/>
      <c r="Z12" s="660"/>
      <c r="AA12" s="660"/>
      <c r="AB12" s="660"/>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c r="BC12" s="660"/>
      <c r="BD12" s="660"/>
      <c r="BE12" s="660"/>
      <c r="BF12" s="660"/>
    </row>
    <row r="13" spans="1:58" ht="16" customHeight="1" thickTop="1">
      <c r="A13" s="810"/>
      <c r="B13" s="811"/>
      <c r="C13" s="811"/>
      <c r="D13" s="812"/>
      <c r="E13" s="813" t="s">
        <v>1003</v>
      </c>
      <c r="F13" s="618"/>
      <c r="G13" s="813"/>
      <c r="H13" s="618"/>
      <c r="I13" s="813"/>
      <c r="J13" s="618"/>
      <c r="K13" s="813"/>
      <c r="L13" s="812"/>
      <c r="M13" s="814" t="s">
        <v>1004</v>
      </c>
      <c r="N13" s="815"/>
      <c r="O13" s="815"/>
      <c r="P13" s="815"/>
      <c r="Q13" s="815"/>
      <c r="R13" s="815"/>
      <c r="S13" s="815"/>
      <c r="T13" s="816"/>
      <c r="U13" s="616"/>
      <c r="V13" s="616"/>
      <c r="W13" s="700"/>
      <c r="X13" s="616"/>
      <c r="Y13" s="616"/>
      <c r="Z13" s="616"/>
      <c r="AA13" s="616"/>
      <c r="AB13" s="616"/>
      <c r="AC13" s="616"/>
      <c r="AD13" s="616"/>
      <c r="AE13" s="616"/>
      <c r="AF13" s="616"/>
      <c r="AG13" s="616"/>
      <c r="AH13" s="616"/>
      <c r="AI13" s="616"/>
      <c r="AJ13" s="616"/>
      <c r="AK13" s="616"/>
      <c r="AL13" s="616"/>
      <c r="AM13" s="616"/>
      <c r="AN13" s="616"/>
      <c r="AO13" s="616"/>
      <c r="AP13" s="616"/>
      <c r="AQ13" s="616"/>
      <c r="AR13" s="616"/>
      <c r="AS13" s="616"/>
      <c r="AT13" s="616"/>
      <c r="AU13" s="616"/>
      <c r="AV13" s="616"/>
      <c r="AW13" s="616"/>
      <c r="AX13" s="616"/>
      <c r="AY13" s="616"/>
      <c r="AZ13" s="616"/>
      <c r="BA13" s="616"/>
      <c r="BB13" s="616"/>
      <c r="BC13" s="616"/>
      <c r="BD13" s="616"/>
      <c r="BE13" s="616"/>
      <c r="BF13" s="616"/>
    </row>
    <row r="14" spans="1:58" ht="16" customHeight="1">
      <c r="A14" s="1168" t="s">
        <v>1042</v>
      </c>
      <c r="B14" s="1169"/>
      <c r="C14" s="689" t="s">
        <v>1007</v>
      </c>
      <c r="D14" s="689"/>
      <c r="E14" s="690" t="s">
        <v>1008</v>
      </c>
      <c r="F14" s="689"/>
      <c r="G14" s="690" t="s">
        <v>1009</v>
      </c>
      <c r="H14" s="689"/>
      <c r="I14" s="690" t="s">
        <v>1005</v>
      </c>
      <c r="J14" s="689"/>
      <c r="K14" s="690" t="s">
        <v>1010</v>
      </c>
      <c r="L14" s="691"/>
      <c r="M14" s="692" t="s">
        <v>1008</v>
      </c>
      <c r="N14" s="689"/>
      <c r="O14" s="689"/>
      <c r="P14" s="689"/>
      <c r="Q14" s="690" t="s">
        <v>1009</v>
      </c>
      <c r="R14" s="689"/>
      <c r="S14" s="693" t="s">
        <v>1010</v>
      </c>
      <c r="T14" s="817"/>
      <c r="U14" s="616"/>
      <c r="V14" s="616"/>
      <c r="W14" s="700"/>
      <c r="X14" s="616"/>
      <c r="Y14" s="616"/>
      <c r="Z14" s="616"/>
      <c r="AA14" s="616"/>
      <c r="AB14" s="616"/>
      <c r="AC14" s="616"/>
      <c r="AD14" s="616"/>
      <c r="AE14" s="616"/>
      <c r="AF14" s="616"/>
      <c r="AG14" s="616"/>
      <c r="AH14" s="616"/>
      <c r="AI14" s="616"/>
      <c r="AJ14" s="616"/>
      <c r="AK14" s="616"/>
      <c r="AL14" s="616"/>
      <c r="AM14" s="616"/>
      <c r="AN14" s="616"/>
      <c r="AO14" s="616"/>
      <c r="AP14" s="616"/>
      <c r="AQ14" s="616"/>
      <c r="AR14" s="616"/>
      <c r="AS14" s="616"/>
      <c r="AT14" s="616"/>
      <c r="AU14" s="616"/>
      <c r="AV14" s="616"/>
      <c r="AW14" s="616"/>
      <c r="AX14" s="616"/>
      <c r="AY14" s="616"/>
      <c r="AZ14" s="616"/>
      <c r="BA14" s="616"/>
      <c r="BB14" s="616"/>
      <c r="BC14" s="616"/>
      <c r="BD14" s="616"/>
      <c r="BE14" s="616"/>
      <c r="BF14" s="616"/>
    </row>
    <row r="15" spans="1:58" ht="16" customHeight="1" thickBot="1">
      <c r="A15" s="818"/>
      <c r="B15" s="697"/>
      <c r="C15" s="697"/>
      <c r="D15" s="697"/>
      <c r="E15" s="697"/>
      <c r="F15" s="697"/>
      <c r="G15" s="697"/>
      <c r="H15" s="697"/>
      <c r="I15" s="697"/>
      <c r="J15" s="697"/>
      <c r="K15" s="697"/>
      <c r="L15" s="697"/>
      <c r="M15" s="698"/>
      <c r="N15" s="697"/>
      <c r="O15" s="697"/>
      <c r="P15" s="697"/>
      <c r="Q15" s="697"/>
      <c r="R15" s="697"/>
      <c r="S15" s="697"/>
      <c r="T15" s="819"/>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6"/>
      <c r="BE15" s="616"/>
      <c r="BF15" s="616"/>
    </row>
    <row r="16" spans="1:58" ht="9" customHeight="1">
      <c r="A16" s="820"/>
      <c r="B16" s="752"/>
      <c r="C16" s="751"/>
      <c r="D16" s="752"/>
      <c r="E16" s="753"/>
      <c r="F16" s="753"/>
      <c r="G16" s="753"/>
      <c r="H16" s="753"/>
      <c r="I16" s="753"/>
      <c r="J16" s="753"/>
      <c r="K16" s="753"/>
      <c r="L16" s="753"/>
      <c r="M16" s="754"/>
      <c r="N16" s="753"/>
      <c r="O16" s="753"/>
      <c r="P16" s="753"/>
      <c r="Q16" s="753"/>
      <c r="R16" s="753"/>
      <c r="S16" s="753"/>
      <c r="T16" s="821"/>
      <c r="U16" s="711"/>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6"/>
      <c r="BD16" s="616"/>
      <c r="BE16" s="616"/>
      <c r="BF16" s="616"/>
    </row>
    <row r="17" spans="1:58" ht="16" customHeight="1">
      <c r="A17" s="822" t="s">
        <v>1043</v>
      </c>
      <c r="B17" s="752"/>
      <c r="C17" s="823" t="s">
        <v>1218</v>
      </c>
      <c r="D17" s="824"/>
      <c r="E17" s="825"/>
      <c r="F17" s="753"/>
      <c r="G17" s="753"/>
      <c r="H17" s="753"/>
      <c r="I17" s="753"/>
      <c r="J17" s="753"/>
      <c r="K17" s="753"/>
      <c r="L17" s="753"/>
      <c r="M17" s="754"/>
      <c r="N17" s="753"/>
      <c r="O17" s="753"/>
      <c r="P17" s="753"/>
      <c r="Q17" s="753"/>
      <c r="R17" s="753"/>
      <c r="S17" s="753"/>
      <c r="T17" s="821"/>
      <c r="U17" s="711"/>
      <c r="V17" s="709" t="s">
        <v>1219</v>
      </c>
      <c r="W17" s="709"/>
      <c r="X17" s="616"/>
      <c r="Y17" s="616"/>
      <c r="Z17" s="709"/>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c r="BC17" s="616"/>
      <c r="BD17" s="616"/>
      <c r="BE17" s="616"/>
      <c r="BF17" s="616"/>
    </row>
    <row r="18" spans="1:58" ht="16" customHeight="1">
      <c r="A18" s="822" t="s">
        <v>1043</v>
      </c>
      <c r="B18" s="751"/>
      <c r="C18" s="823" t="s">
        <v>1220</v>
      </c>
      <c r="D18" s="824"/>
      <c r="E18" s="826">
        <v>18092</v>
      </c>
      <c r="F18" s="753"/>
      <c r="G18" s="753">
        <f t="shared" ref="G18:G70" si="0">IF($M18&gt;$V$9,($M18-$V$9)*$X$10,"ERROR")</f>
        <v>1276.7760000000001</v>
      </c>
      <c r="H18" s="753"/>
      <c r="I18" s="753">
        <f t="shared" ref="I18:I67" si="1">$E18*$W$12</f>
        <v>4685.8280000000004</v>
      </c>
      <c r="J18" s="753"/>
      <c r="K18" s="753">
        <f t="shared" ref="K18:K64" si="2">E18+ROUND(G18,0)+ROUND(I18,0)</f>
        <v>24055</v>
      </c>
      <c r="L18" s="753"/>
      <c r="M18" s="754">
        <f t="shared" ref="M18:M64" si="3">E18</f>
        <v>18092</v>
      </c>
      <c r="N18" s="753"/>
      <c r="O18" s="753"/>
      <c r="P18" s="753"/>
      <c r="Q18" s="753">
        <f t="shared" ref="Q18:Q70" si="4">IF($M18&gt;$V$9,($M18-$V$9)*$X$10,"ERROR")</f>
        <v>1276.7760000000001</v>
      </c>
      <c r="R18" s="753"/>
      <c r="S18" s="753">
        <f t="shared" ref="S18:S64" si="5">SUM(M18:Q18)</f>
        <v>19368.776000000002</v>
      </c>
      <c r="T18" s="821"/>
      <c r="U18" s="827"/>
      <c r="V18" s="709" t="s">
        <v>1015</v>
      </c>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row>
    <row r="19" spans="1:58" ht="16" customHeight="1">
      <c r="A19" s="822" t="s">
        <v>1043</v>
      </c>
      <c r="B19" s="755" t="s">
        <v>1046</v>
      </c>
      <c r="C19" s="828" t="s">
        <v>1221</v>
      </c>
      <c r="D19" s="824"/>
      <c r="E19" s="826">
        <v>18448</v>
      </c>
      <c r="F19" s="753"/>
      <c r="G19" s="753">
        <f t="shared" si="0"/>
        <v>1325.9040000000002</v>
      </c>
      <c r="H19" s="753"/>
      <c r="I19" s="753">
        <f t="shared" si="1"/>
        <v>4778.0320000000002</v>
      </c>
      <c r="J19" s="753"/>
      <c r="K19" s="753">
        <f t="shared" si="2"/>
        <v>24552</v>
      </c>
      <c r="L19" s="753"/>
      <c r="M19" s="754">
        <f t="shared" si="3"/>
        <v>18448</v>
      </c>
      <c r="N19" s="753"/>
      <c r="O19" s="753"/>
      <c r="P19" s="753"/>
      <c r="Q19" s="753">
        <f t="shared" si="4"/>
        <v>1325.9040000000002</v>
      </c>
      <c r="R19" s="753"/>
      <c r="S19" s="753">
        <f t="shared" si="5"/>
        <v>19773.903999999999</v>
      </c>
      <c r="T19" s="821"/>
      <c r="U19" s="827"/>
      <c r="V19" s="709"/>
      <c r="W19" s="616"/>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row>
    <row r="20" spans="1:58" ht="16" customHeight="1">
      <c r="A20" s="829"/>
      <c r="B20" s="755" t="s">
        <v>1046</v>
      </c>
      <c r="C20" s="830" t="s">
        <v>1222</v>
      </c>
      <c r="D20" s="752"/>
      <c r="E20" s="826">
        <v>18588</v>
      </c>
      <c r="F20" s="753"/>
      <c r="G20" s="753">
        <f t="shared" si="0"/>
        <v>1345.2240000000002</v>
      </c>
      <c r="H20" s="753"/>
      <c r="I20" s="753">
        <f t="shared" si="1"/>
        <v>4814.2920000000004</v>
      </c>
      <c r="J20" s="753"/>
      <c r="K20" s="753">
        <f t="shared" si="2"/>
        <v>24747</v>
      </c>
      <c r="L20" s="753"/>
      <c r="M20" s="754">
        <f t="shared" si="3"/>
        <v>18588</v>
      </c>
      <c r="N20" s="753"/>
      <c r="O20" s="753"/>
      <c r="P20" s="753"/>
      <c r="Q20" s="753">
        <f t="shared" si="4"/>
        <v>1345.2240000000002</v>
      </c>
      <c r="R20" s="753"/>
      <c r="S20" s="753">
        <f t="shared" si="5"/>
        <v>19933.224000000002</v>
      </c>
      <c r="T20" s="821"/>
      <c r="U20" s="709"/>
      <c r="V20" s="709" t="s">
        <v>1016</v>
      </c>
      <c r="W20" s="616"/>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row>
    <row r="21" spans="1:58" ht="16" customHeight="1">
      <c r="A21" s="829"/>
      <c r="B21" s="751" t="s">
        <v>1046</v>
      </c>
      <c r="C21" s="830" t="s">
        <v>1223</v>
      </c>
      <c r="D21" s="752"/>
      <c r="E21" s="826">
        <v>18680</v>
      </c>
      <c r="F21" s="753"/>
      <c r="G21" s="753">
        <f t="shared" si="0"/>
        <v>1357.92</v>
      </c>
      <c r="H21" s="753"/>
      <c r="I21" s="753">
        <f t="shared" si="1"/>
        <v>4838.12</v>
      </c>
      <c r="J21" s="753"/>
      <c r="K21" s="753">
        <f t="shared" si="2"/>
        <v>24876</v>
      </c>
      <c r="L21" s="753"/>
      <c r="M21" s="754">
        <f t="shared" si="3"/>
        <v>18680</v>
      </c>
      <c r="N21" s="753"/>
      <c r="O21" s="753"/>
      <c r="P21" s="753"/>
      <c r="Q21" s="753">
        <f t="shared" si="4"/>
        <v>1357.92</v>
      </c>
      <c r="R21" s="753"/>
      <c r="S21" s="753">
        <f t="shared" si="5"/>
        <v>20037.919999999998</v>
      </c>
      <c r="T21" s="821"/>
      <c r="U21" s="709"/>
      <c r="V21" s="709" t="s">
        <v>1017</v>
      </c>
      <c r="W21" s="616"/>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c r="BC21" s="616"/>
      <c r="BD21" s="616"/>
      <c r="BE21" s="616"/>
      <c r="BF21" s="616"/>
    </row>
    <row r="22" spans="1:58" ht="16" customHeight="1">
      <c r="A22" s="829" t="s">
        <v>1050</v>
      </c>
      <c r="B22" s="755" t="s">
        <v>1046</v>
      </c>
      <c r="C22" s="828" t="s">
        <v>1224</v>
      </c>
      <c r="D22" s="824"/>
      <c r="E22" s="826">
        <v>18812</v>
      </c>
      <c r="F22" s="753"/>
      <c r="G22" s="753">
        <f t="shared" si="0"/>
        <v>1376.1360000000002</v>
      </c>
      <c r="H22" s="753"/>
      <c r="I22" s="753">
        <f t="shared" si="1"/>
        <v>4872.308</v>
      </c>
      <c r="J22" s="753"/>
      <c r="K22" s="753">
        <f t="shared" si="2"/>
        <v>25060</v>
      </c>
      <c r="L22" s="753"/>
      <c r="M22" s="754">
        <f t="shared" si="3"/>
        <v>18812</v>
      </c>
      <c r="N22" s="753"/>
      <c r="O22" s="753"/>
      <c r="P22" s="753"/>
      <c r="Q22" s="753">
        <f t="shared" si="4"/>
        <v>1376.1360000000002</v>
      </c>
      <c r="R22" s="753"/>
      <c r="S22" s="753">
        <f t="shared" si="5"/>
        <v>20188.135999999999</v>
      </c>
      <c r="T22" s="821"/>
      <c r="U22" s="827"/>
      <c r="V22" s="709"/>
      <c r="W22" s="616"/>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c r="BC22" s="616"/>
      <c r="BD22" s="616"/>
      <c r="BE22" s="616"/>
      <c r="BF22" s="616"/>
    </row>
    <row r="23" spans="1:58" ht="16" customHeight="1">
      <c r="A23" s="829" t="s">
        <v>1050</v>
      </c>
      <c r="B23" s="755"/>
      <c r="C23" s="830" t="s">
        <v>1225</v>
      </c>
      <c r="D23" s="752"/>
      <c r="E23" s="826">
        <f>19176*W38</f>
        <v>16328.908296943231</v>
      </c>
      <c r="F23" s="753"/>
      <c r="G23" s="753">
        <f t="shared" si="0"/>
        <v>1033.469344978166</v>
      </c>
      <c r="H23" s="753"/>
      <c r="I23" s="753">
        <f t="shared" si="1"/>
        <v>4229.1872489082971</v>
      </c>
      <c r="J23" s="753"/>
      <c r="K23" s="753">
        <f t="shared" si="2"/>
        <v>21590.908296943231</v>
      </c>
      <c r="L23" s="753"/>
      <c r="M23" s="754">
        <f t="shared" si="3"/>
        <v>16328.908296943231</v>
      </c>
      <c r="N23" s="753"/>
      <c r="O23" s="753"/>
      <c r="P23" s="753"/>
      <c r="Q23" s="753">
        <f t="shared" si="4"/>
        <v>1033.469344978166</v>
      </c>
      <c r="R23" s="753"/>
      <c r="S23" s="753">
        <f t="shared" si="5"/>
        <v>17362.377641921397</v>
      </c>
      <c r="T23" s="821"/>
      <c r="U23" s="709"/>
      <c r="V23" s="709" t="s">
        <v>1020</v>
      </c>
      <c r="W23" s="616"/>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c r="BC23" s="616"/>
      <c r="BD23" s="616"/>
      <c r="BE23" s="616"/>
      <c r="BF23" s="616"/>
    </row>
    <row r="24" spans="1:58" ht="16" customHeight="1">
      <c r="A24" s="829" t="s">
        <v>1050</v>
      </c>
      <c r="B24" s="751"/>
      <c r="C24" s="830" t="s">
        <v>1226</v>
      </c>
      <c r="D24" s="752"/>
      <c r="E24" s="826">
        <v>19583</v>
      </c>
      <c r="F24" s="753"/>
      <c r="G24" s="753">
        <f t="shared" si="0"/>
        <v>1482.5340000000001</v>
      </c>
      <c r="H24" s="753"/>
      <c r="I24" s="753">
        <f t="shared" si="1"/>
        <v>5071.9970000000003</v>
      </c>
      <c r="J24" s="753"/>
      <c r="K24" s="753">
        <f t="shared" si="2"/>
        <v>26138</v>
      </c>
      <c r="L24" s="753"/>
      <c r="M24" s="754">
        <f t="shared" si="3"/>
        <v>19583</v>
      </c>
      <c r="N24" s="753"/>
      <c r="O24" s="753"/>
      <c r="P24" s="753"/>
      <c r="Q24" s="753">
        <f t="shared" si="4"/>
        <v>1482.5340000000001</v>
      </c>
      <c r="R24" s="753"/>
      <c r="S24" s="753">
        <f t="shared" si="5"/>
        <v>21065.534</v>
      </c>
      <c r="T24" s="821"/>
      <c r="U24" s="709"/>
      <c r="V24" s="709" t="s">
        <v>1190</v>
      </c>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6"/>
      <c r="BD24" s="616"/>
      <c r="BE24" s="616"/>
      <c r="BF24" s="616"/>
    </row>
    <row r="25" spans="1:58" ht="16" customHeight="1">
      <c r="A25" s="829" t="s">
        <v>1050</v>
      </c>
      <c r="B25" s="755" t="s">
        <v>1054</v>
      </c>
      <c r="C25" s="828" t="s">
        <v>1227</v>
      </c>
      <c r="D25" s="824"/>
      <c r="E25" s="849">
        <f>19948</f>
        <v>19948</v>
      </c>
      <c r="F25" s="753"/>
      <c r="G25" s="753">
        <f t="shared" si="0"/>
        <v>1532.9040000000002</v>
      </c>
      <c r="H25" s="753"/>
      <c r="I25" s="753">
        <f t="shared" si="1"/>
        <v>5166.5320000000002</v>
      </c>
      <c r="J25" s="753"/>
      <c r="K25" s="753">
        <f t="shared" si="2"/>
        <v>26648</v>
      </c>
      <c r="L25" s="753"/>
      <c r="M25" s="754">
        <f t="shared" si="3"/>
        <v>19948</v>
      </c>
      <c r="N25" s="753"/>
      <c r="O25" s="753"/>
      <c r="P25" s="753"/>
      <c r="Q25" s="753">
        <f t="shared" si="4"/>
        <v>1532.9040000000002</v>
      </c>
      <c r="R25" s="753"/>
      <c r="S25" s="753">
        <f t="shared" si="5"/>
        <v>21480.903999999999</v>
      </c>
      <c r="T25" s="821"/>
      <c r="U25" s="827"/>
      <c r="V25" s="709"/>
      <c r="W25" s="616"/>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c r="BC25" s="616"/>
      <c r="BD25" s="616"/>
      <c r="BE25" s="616"/>
      <c r="BF25" s="616"/>
    </row>
    <row r="26" spans="1:58" ht="16" customHeight="1">
      <c r="A26" s="829"/>
      <c r="B26" s="755" t="s">
        <v>1054</v>
      </c>
      <c r="C26" s="755">
        <v>10</v>
      </c>
      <c r="D26" s="752"/>
      <c r="E26" s="849">
        <f>19986</f>
        <v>19986</v>
      </c>
      <c r="F26" s="753"/>
      <c r="G26" s="753">
        <f t="shared" si="0"/>
        <v>1538.1480000000001</v>
      </c>
      <c r="H26" s="753"/>
      <c r="I26" s="753">
        <f t="shared" si="1"/>
        <v>5176.3739999999998</v>
      </c>
      <c r="J26" s="753"/>
      <c r="K26" s="753">
        <f t="shared" si="2"/>
        <v>26700</v>
      </c>
      <c r="L26" s="753"/>
      <c r="M26" s="754">
        <f t="shared" si="3"/>
        <v>19986</v>
      </c>
      <c r="N26" s="753"/>
      <c r="O26" s="753"/>
      <c r="P26" s="753"/>
      <c r="Q26" s="753">
        <f t="shared" si="4"/>
        <v>1538.1480000000001</v>
      </c>
      <c r="R26" s="753"/>
      <c r="S26" s="753">
        <f t="shared" si="5"/>
        <v>21524.148000000001</v>
      </c>
      <c r="T26" s="821"/>
      <c r="U26" s="709"/>
      <c r="V26" s="709" t="s">
        <v>1023</v>
      </c>
      <c r="W26" s="616"/>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c r="BC26" s="616"/>
      <c r="BD26" s="616"/>
      <c r="BE26" s="616"/>
      <c r="BF26" s="616"/>
    </row>
    <row r="27" spans="1:58" ht="16" customHeight="1">
      <c r="A27" s="829"/>
      <c r="B27" s="751" t="s">
        <v>1054</v>
      </c>
      <c r="C27" s="755">
        <v>11</v>
      </c>
      <c r="D27" s="752"/>
      <c r="E27" s="849">
        <f>20662</f>
        <v>20662</v>
      </c>
      <c r="F27" s="753"/>
      <c r="G27" s="753">
        <f t="shared" si="0"/>
        <v>1631.4360000000001</v>
      </c>
      <c r="H27" s="753"/>
      <c r="I27" s="753">
        <f t="shared" si="1"/>
        <v>5351.4580000000005</v>
      </c>
      <c r="J27" s="753"/>
      <c r="K27" s="753">
        <f t="shared" si="2"/>
        <v>27644</v>
      </c>
      <c r="L27" s="753"/>
      <c r="M27" s="754">
        <f t="shared" si="3"/>
        <v>20662</v>
      </c>
      <c r="N27" s="753"/>
      <c r="O27" s="753"/>
      <c r="P27" s="753"/>
      <c r="Q27" s="753">
        <f t="shared" si="4"/>
        <v>1631.4360000000001</v>
      </c>
      <c r="R27" s="753"/>
      <c r="S27" s="753">
        <f t="shared" si="5"/>
        <v>22293.436000000002</v>
      </c>
      <c r="T27" s="821"/>
      <c r="U27" s="709"/>
      <c r="V27" s="709" t="s">
        <v>1025</v>
      </c>
      <c r="W27" s="616"/>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c r="BC27" s="616"/>
      <c r="BD27" s="616"/>
      <c r="BE27" s="616"/>
      <c r="BF27" s="616"/>
    </row>
    <row r="28" spans="1:58" ht="16" customHeight="1">
      <c r="A28" s="829" t="s">
        <v>1058</v>
      </c>
      <c r="B28" s="755" t="s">
        <v>1054</v>
      </c>
      <c r="C28" s="831">
        <v>12</v>
      </c>
      <c r="D28" s="824"/>
      <c r="E28" s="849">
        <f>21153</f>
        <v>21153</v>
      </c>
      <c r="F28" s="753"/>
      <c r="G28" s="753">
        <f t="shared" si="0"/>
        <v>1699.1940000000002</v>
      </c>
      <c r="H28" s="753"/>
      <c r="I28" s="753">
        <f t="shared" si="1"/>
        <v>5478.6270000000004</v>
      </c>
      <c r="J28" s="753"/>
      <c r="K28" s="753">
        <f t="shared" si="2"/>
        <v>28331</v>
      </c>
      <c r="L28" s="753"/>
      <c r="M28" s="754">
        <f t="shared" si="3"/>
        <v>21153</v>
      </c>
      <c r="N28" s="753"/>
      <c r="O28" s="753"/>
      <c r="P28" s="753"/>
      <c r="Q28" s="753">
        <f t="shared" si="4"/>
        <v>1699.1940000000002</v>
      </c>
      <c r="R28" s="753"/>
      <c r="S28" s="753">
        <f t="shared" si="5"/>
        <v>22852.194</v>
      </c>
      <c r="T28" s="821"/>
      <c r="U28" s="827"/>
      <c r="V28" s="709" t="s">
        <v>1192</v>
      </c>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row>
    <row r="29" spans="1:58" ht="16" customHeight="1">
      <c r="A29" s="829" t="s">
        <v>1058</v>
      </c>
      <c r="B29" s="755"/>
      <c r="C29" s="755">
        <v>13</v>
      </c>
      <c r="D29" s="752"/>
      <c r="E29" s="826">
        <v>21981</v>
      </c>
      <c r="F29" s="753"/>
      <c r="G29" s="753">
        <f t="shared" si="0"/>
        <v>1813.4580000000001</v>
      </c>
      <c r="H29" s="753"/>
      <c r="I29" s="753">
        <f t="shared" si="1"/>
        <v>5693.0789999999997</v>
      </c>
      <c r="J29" s="753"/>
      <c r="K29" s="753">
        <f t="shared" si="2"/>
        <v>29487</v>
      </c>
      <c r="L29" s="753"/>
      <c r="M29" s="754">
        <f t="shared" si="3"/>
        <v>21981</v>
      </c>
      <c r="N29" s="753"/>
      <c r="O29" s="753"/>
      <c r="P29" s="753"/>
      <c r="Q29" s="753">
        <f t="shared" si="4"/>
        <v>1813.4580000000001</v>
      </c>
      <c r="R29" s="753"/>
      <c r="S29" s="753">
        <f t="shared" si="5"/>
        <v>23794.457999999999</v>
      </c>
      <c r="T29" s="821"/>
      <c r="U29" s="709"/>
      <c r="V29" s="709"/>
      <c r="W29" s="616"/>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c r="BC29" s="616"/>
      <c r="BD29" s="616"/>
      <c r="BE29" s="616"/>
      <c r="BF29" s="616"/>
    </row>
    <row r="30" spans="1:58" ht="16" customHeight="1">
      <c r="A30" s="829" t="s">
        <v>1058</v>
      </c>
      <c r="B30" s="751"/>
      <c r="C30" s="755">
        <v>14</v>
      </c>
      <c r="D30" s="752"/>
      <c r="E30" s="826">
        <v>22888</v>
      </c>
      <c r="F30" s="753"/>
      <c r="G30" s="753">
        <f t="shared" si="0"/>
        <v>1938.6240000000003</v>
      </c>
      <c r="H30" s="753"/>
      <c r="I30" s="753">
        <f t="shared" si="1"/>
        <v>5927.9920000000002</v>
      </c>
      <c r="J30" s="753"/>
      <c r="K30" s="753">
        <f t="shared" si="2"/>
        <v>30755</v>
      </c>
      <c r="L30" s="753"/>
      <c r="M30" s="754">
        <f t="shared" si="3"/>
        <v>22888</v>
      </c>
      <c r="N30" s="753"/>
      <c r="O30" s="753"/>
      <c r="P30" s="753"/>
      <c r="Q30" s="753">
        <f t="shared" si="4"/>
        <v>1938.6240000000003</v>
      </c>
      <c r="R30" s="753"/>
      <c r="S30" s="753">
        <f t="shared" si="5"/>
        <v>24826.624</v>
      </c>
      <c r="T30" s="821"/>
      <c r="U30" s="709"/>
      <c r="V30" s="709"/>
      <c r="W30" s="616"/>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c r="BC30" s="616"/>
      <c r="BD30" s="616"/>
      <c r="BE30" s="616"/>
      <c r="BF30" s="616"/>
    </row>
    <row r="31" spans="1:58" ht="16" customHeight="1">
      <c r="A31" s="829" t="s">
        <v>1058</v>
      </c>
      <c r="B31" s="755" t="s">
        <v>109</v>
      </c>
      <c r="C31" s="831">
        <v>15</v>
      </c>
      <c r="D31" s="824"/>
      <c r="E31" s="826">
        <v>23791</v>
      </c>
      <c r="F31" s="753"/>
      <c r="G31" s="753">
        <f t="shared" si="0"/>
        <v>2063.2380000000003</v>
      </c>
      <c r="H31" s="753"/>
      <c r="I31" s="753">
        <f t="shared" si="1"/>
        <v>6161.8690000000006</v>
      </c>
      <c r="J31" s="753"/>
      <c r="K31" s="753">
        <f t="shared" si="2"/>
        <v>32016</v>
      </c>
      <c r="L31" s="753"/>
      <c r="M31" s="754">
        <f t="shared" si="3"/>
        <v>23791</v>
      </c>
      <c r="N31" s="753"/>
      <c r="O31" s="753"/>
      <c r="P31" s="753"/>
      <c r="Q31" s="753">
        <f t="shared" si="4"/>
        <v>2063.2380000000003</v>
      </c>
      <c r="R31" s="753"/>
      <c r="S31" s="753">
        <f t="shared" si="5"/>
        <v>25854.238000000001</v>
      </c>
      <c r="T31" s="821"/>
      <c r="U31" s="827"/>
      <c r="V31" s="827"/>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c r="BC31" s="616"/>
      <c r="BD31" s="616"/>
      <c r="BE31" s="616"/>
      <c r="BF31" s="616"/>
    </row>
    <row r="32" spans="1:58" ht="16" customHeight="1">
      <c r="A32" s="829"/>
      <c r="B32" s="755" t="s">
        <v>109</v>
      </c>
      <c r="C32" s="755">
        <v>16</v>
      </c>
      <c r="D32" s="752"/>
      <c r="E32" s="826">
        <v>24333</v>
      </c>
      <c r="F32" s="753"/>
      <c r="G32" s="753">
        <f t="shared" si="0"/>
        <v>2138.0340000000001</v>
      </c>
      <c r="H32" s="753"/>
      <c r="I32" s="753">
        <f t="shared" si="1"/>
        <v>6302.2470000000003</v>
      </c>
      <c r="J32" s="753"/>
      <c r="K32" s="753">
        <f t="shared" si="2"/>
        <v>32773</v>
      </c>
      <c r="L32" s="753"/>
      <c r="M32" s="754">
        <f t="shared" si="3"/>
        <v>24333</v>
      </c>
      <c r="N32" s="753"/>
      <c r="O32" s="753"/>
      <c r="P32" s="753"/>
      <c r="Q32" s="753">
        <f t="shared" si="4"/>
        <v>2138.0340000000001</v>
      </c>
      <c r="R32" s="753"/>
      <c r="S32" s="753">
        <f t="shared" si="5"/>
        <v>26471.034</v>
      </c>
      <c r="T32" s="821"/>
      <c r="U32" s="709"/>
      <c r="V32" s="709">
        <f>E34*195/229</f>
        <v>22132.074235807861</v>
      </c>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row>
    <row r="33" spans="1:58" ht="16" customHeight="1">
      <c r="A33" s="829"/>
      <c r="B33" s="751" t="s">
        <v>109</v>
      </c>
      <c r="C33" s="755">
        <v>17</v>
      </c>
      <c r="D33" s="752"/>
      <c r="E33" s="826">
        <v>25123</v>
      </c>
      <c r="F33" s="753"/>
      <c r="G33" s="753">
        <f t="shared" si="0"/>
        <v>2247.0540000000001</v>
      </c>
      <c r="H33" s="753"/>
      <c r="I33" s="753">
        <f t="shared" si="1"/>
        <v>6506.857</v>
      </c>
      <c r="J33" s="753"/>
      <c r="K33" s="753">
        <f t="shared" si="2"/>
        <v>33877</v>
      </c>
      <c r="L33" s="753"/>
      <c r="M33" s="754">
        <f t="shared" si="3"/>
        <v>25123</v>
      </c>
      <c r="N33" s="753"/>
      <c r="O33" s="753"/>
      <c r="P33" s="753"/>
      <c r="Q33" s="753">
        <f t="shared" si="4"/>
        <v>2247.0540000000001</v>
      </c>
      <c r="R33" s="753"/>
      <c r="S33" s="753">
        <f t="shared" si="5"/>
        <v>27370.054</v>
      </c>
      <c r="T33" s="821"/>
      <c r="U33" s="709"/>
      <c r="V33" s="709"/>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row>
    <row r="34" spans="1:58" ht="16" customHeight="1">
      <c r="A34" s="829" t="s">
        <v>1065</v>
      </c>
      <c r="B34" s="755" t="s">
        <v>109</v>
      </c>
      <c r="C34" s="831">
        <v>18</v>
      </c>
      <c r="D34" s="824"/>
      <c r="E34" s="826">
        <v>25991</v>
      </c>
      <c r="F34" s="753"/>
      <c r="G34" s="753">
        <f t="shared" si="0"/>
        <v>2366.8380000000002</v>
      </c>
      <c r="H34" s="753"/>
      <c r="I34" s="753">
        <f t="shared" si="1"/>
        <v>6731.6689999999999</v>
      </c>
      <c r="J34" s="753"/>
      <c r="K34" s="753">
        <f t="shared" si="2"/>
        <v>35090</v>
      </c>
      <c r="L34" s="753"/>
      <c r="M34" s="754">
        <f t="shared" si="3"/>
        <v>25991</v>
      </c>
      <c r="N34" s="753"/>
      <c r="O34" s="753"/>
      <c r="P34" s="753"/>
      <c r="Q34" s="753">
        <f t="shared" si="4"/>
        <v>2366.8380000000002</v>
      </c>
      <c r="R34" s="753"/>
      <c r="S34" s="753">
        <f t="shared" si="5"/>
        <v>28357.838</v>
      </c>
      <c r="T34" s="821"/>
      <c r="U34" s="827"/>
      <c r="V34" s="827"/>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row>
    <row r="35" spans="1:58" ht="16" customHeight="1">
      <c r="A35" s="829" t="s">
        <v>1065</v>
      </c>
      <c r="B35" s="755"/>
      <c r="C35" s="755">
        <v>19</v>
      </c>
      <c r="D35" s="752"/>
      <c r="E35" s="826">
        <v>26785</v>
      </c>
      <c r="F35" s="753"/>
      <c r="G35" s="753">
        <f t="shared" si="0"/>
        <v>2476.4100000000003</v>
      </c>
      <c r="H35" s="753"/>
      <c r="I35" s="753">
        <f t="shared" si="1"/>
        <v>6937.3150000000005</v>
      </c>
      <c r="J35" s="753"/>
      <c r="K35" s="753">
        <f t="shared" si="2"/>
        <v>36198</v>
      </c>
      <c r="L35" s="753"/>
      <c r="M35" s="754">
        <f t="shared" si="3"/>
        <v>26785</v>
      </c>
      <c r="N35" s="753"/>
      <c r="O35" s="753"/>
      <c r="P35" s="753"/>
      <c r="Q35" s="753">
        <f t="shared" si="4"/>
        <v>2476.4100000000003</v>
      </c>
      <c r="R35" s="753"/>
      <c r="S35" s="753">
        <f t="shared" si="5"/>
        <v>29261.41</v>
      </c>
      <c r="T35" s="821"/>
      <c r="U35" s="709"/>
      <c r="V35" s="709"/>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row>
    <row r="36" spans="1:58" ht="16" customHeight="1">
      <c r="A36" s="829" t="s">
        <v>1065</v>
      </c>
      <c r="B36" s="751"/>
      <c r="C36" s="755">
        <v>20</v>
      </c>
      <c r="D36" s="752"/>
      <c r="E36" s="826">
        <v>27729</v>
      </c>
      <c r="F36" s="753"/>
      <c r="G36" s="753">
        <f t="shared" si="0"/>
        <v>2606.6820000000002</v>
      </c>
      <c r="H36" s="753"/>
      <c r="I36" s="753">
        <f t="shared" si="1"/>
        <v>7181.8110000000006</v>
      </c>
      <c r="J36" s="753"/>
      <c r="K36" s="753">
        <f t="shared" si="2"/>
        <v>37518</v>
      </c>
      <c r="L36" s="753"/>
      <c r="M36" s="754">
        <f t="shared" si="3"/>
        <v>27729</v>
      </c>
      <c r="N36" s="753"/>
      <c r="O36" s="753"/>
      <c r="P36" s="753"/>
      <c r="Q36" s="753">
        <f t="shared" si="4"/>
        <v>2606.6820000000002</v>
      </c>
      <c r="R36" s="753"/>
      <c r="S36" s="753">
        <f t="shared" si="5"/>
        <v>30335.682000000001</v>
      </c>
      <c r="T36" s="821"/>
      <c r="U36" s="709"/>
      <c r="V36" s="709"/>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row>
    <row r="37" spans="1:58" ht="16" customHeight="1">
      <c r="A37" s="829" t="s">
        <v>1065</v>
      </c>
      <c r="B37" s="755" t="s">
        <v>113</v>
      </c>
      <c r="C37" s="831">
        <v>21</v>
      </c>
      <c r="D37" s="824"/>
      <c r="E37" s="826">
        <v>28672</v>
      </c>
      <c r="F37" s="753"/>
      <c r="G37" s="753">
        <f t="shared" si="0"/>
        <v>2736.8160000000003</v>
      </c>
      <c r="H37" s="753"/>
      <c r="I37" s="753">
        <f t="shared" si="1"/>
        <v>7426.0480000000007</v>
      </c>
      <c r="J37" s="753"/>
      <c r="K37" s="753">
        <f t="shared" si="2"/>
        <v>38835</v>
      </c>
      <c r="L37" s="753"/>
      <c r="M37" s="754">
        <f t="shared" si="3"/>
        <v>28672</v>
      </c>
      <c r="N37" s="753"/>
      <c r="O37" s="753"/>
      <c r="P37" s="753"/>
      <c r="Q37" s="753">
        <f t="shared" si="4"/>
        <v>2736.8160000000003</v>
      </c>
      <c r="R37" s="753"/>
      <c r="S37" s="753">
        <f t="shared" si="5"/>
        <v>31408.815999999999</v>
      </c>
      <c r="T37" s="821"/>
      <c r="U37" s="827"/>
      <c r="V37" s="827"/>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row>
    <row r="38" spans="1:58" ht="16" customHeight="1">
      <c r="A38" s="829"/>
      <c r="B38" s="755" t="s">
        <v>113</v>
      </c>
      <c r="C38" s="755">
        <v>22</v>
      </c>
      <c r="D38" s="752"/>
      <c r="E38" s="826">
        <v>29920</v>
      </c>
      <c r="F38" s="753"/>
      <c r="G38" s="753">
        <f t="shared" si="0"/>
        <v>2909.0400000000004</v>
      </c>
      <c r="H38" s="753"/>
      <c r="I38" s="753">
        <f t="shared" si="1"/>
        <v>7749.2800000000007</v>
      </c>
      <c r="J38" s="753"/>
      <c r="K38" s="753">
        <f t="shared" si="2"/>
        <v>40578</v>
      </c>
      <c r="L38" s="753"/>
      <c r="M38" s="754">
        <f t="shared" si="3"/>
        <v>29920</v>
      </c>
      <c r="N38" s="753"/>
      <c r="O38" s="753"/>
      <c r="P38" s="753"/>
      <c r="Q38" s="753">
        <f t="shared" si="4"/>
        <v>2909.0400000000004</v>
      </c>
      <c r="R38" s="753"/>
      <c r="S38" s="753">
        <f t="shared" si="5"/>
        <v>32829.040000000001</v>
      </c>
      <c r="T38" s="821"/>
      <c r="U38" s="709"/>
      <c r="V38" s="709"/>
      <c r="W38" s="616">
        <f>195/229</f>
        <v>0.85152838427947597</v>
      </c>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row>
    <row r="39" spans="1:58" ht="16" customHeight="1">
      <c r="A39" s="829"/>
      <c r="B39" s="751" t="s">
        <v>113</v>
      </c>
      <c r="C39" s="755">
        <v>23</v>
      </c>
      <c r="D39" s="752"/>
      <c r="E39" s="826">
        <v>31053</v>
      </c>
      <c r="F39" s="753"/>
      <c r="G39" s="753">
        <f t="shared" si="0"/>
        <v>3065.3940000000002</v>
      </c>
      <c r="H39" s="753"/>
      <c r="I39" s="753">
        <f t="shared" si="1"/>
        <v>8042.7269999999999</v>
      </c>
      <c r="J39" s="753"/>
      <c r="K39" s="753">
        <f t="shared" si="2"/>
        <v>42161</v>
      </c>
      <c r="L39" s="753"/>
      <c r="M39" s="754">
        <f t="shared" si="3"/>
        <v>31053</v>
      </c>
      <c r="N39" s="753"/>
      <c r="O39" s="753"/>
      <c r="P39" s="753"/>
      <c r="Q39" s="753">
        <f t="shared" si="4"/>
        <v>3065.3940000000002</v>
      </c>
      <c r="R39" s="753"/>
      <c r="S39" s="753">
        <f t="shared" si="5"/>
        <v>34118.394</v>
      </c>
      <c r="T39" s="821"/>
      <c r="U39" s="709"/>
      <c r="V39" s="709"/>
      <c r="W39" s="890">
        <f>E25*W38</f>
        <v>16986.288209606988</v>
      </c>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row>
    <row r="40" spans="1:58" ht="16" customHeight="1">
      <c r="A40" s="829" t="s">
        <v>116</v>
      </c>
      <c r="B40" s="755" t="s">
        <v>113</v>
      </c>
      <c r="C40" s="831">
        <v>24</v>
      </c>
      <c r="D40" s="824"/>
      <c r="E40" s="826">
        <v>32234</v>
      </c>
      <c r="F40" s="753"/>
      <c r="G40" s="753">
        <f t="shared" si="0"/>
        <v>3228.3720000000003</v>
      </c>
      <c r="H40" s="753"/>
      <c r="I40" s="753">
        <f t="shared" si="1"/>
        <v>8348.6059999999998</v>
      </c>
      <c r="J40" s="753"/>
      <c r="K40" s="753">
        <f t="shared" si="2"/>
        <v>43811</v>
      </c>
      <c r="L40" s="753"/>
      <c r="M40" s="754">
        <f t="shared" si="3"/>
        <v>32234</v>
      </c>
      <c r="N40" s="753"/>
      <c r="O40" s="753"/>
      <c r="P40" s="753"/>
      <c r="Q40" s="753">
        <f t="shared" si="4"/>
        <v>3228.3720000000003</v>
      </c>
      <c r="R40" s="753"/>
      <c r="S40" s="753">
        <f t="shared" si="5"/>
        <v>35462.372000000003</v>
      </c>
      <c r="T40" s="821"/>
      <c r="U40" s="827"/>
      <c r="V40" s="827"/>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row>
    <row r="41" spans="1:58" ht="16" customHeight="1">
      <c r="A41" s="829" t="s">
        <v>116</v>
      </c>
      <c r="B41" s="755"/>
      <c r="C41" s="755">
        <v>25</v>
      </c>
      <c r="D41" s="752"/>
      <c r="E41" s="826">
        <v>33412</v>
      </c>
      <c r="F41" s="753"/>
      <c r="G41" s="753">
        <f t="shared" si="0"/>
        <v>3390.9360000000001</v>
      </c>
      <c r="H41" s="753"/>
      <c r="I41" s="753">
        <f t="shared" si="1"/>
        <v>8653.7080000000005</v>
      </c>
      <c r="J41" s="753"/>
      <c r="K41" s="753">
        <f t="shared" si="2"/>
        <v>45457</v>
      </c>
      <c r="L41" s="753"/>
      <c r="M41" s="754">
        <f t="shared" si="3"/>
        <v>33412</v>
      </c>
      <c r="N41" s="753"/>
      <c r="O41" s="753"/>
      <c r="P41" s="753"/>
      <c r="Q41" s="753">
        <f t="shared" si="4"/>
        <v>3390.9360000000001</v>
      </c>
      <c r="R41" s="753"/>
      <c r="S41" s="753">
        <f t="shared" si="5"/>
        <v>36802.936000000002</v>
      </c>
      <c r="T41" s="821"/>
      <c r="U41" s="709"/>
      <c r="V41" s="709"/>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row>
    <row r="42" spans="1:58" ht="16" customHeight="1">
      <c r="A42" s="829" t="s">
        <v>116</v>
      </c>
      <c r="B42" s="751"/>
      <c r="C42" s="755">
        <v>26</v>
      </c>
      <c r="D42" s="752"/>
      <c r="E42" s="826">
        <v>34576</v>
      </c>
      <c r="F42" s="753"/>
      <c r="G42" s="753">
        <f t="shared" si="0"/>
        <v>3551.5680000000002</v>
      </c>
      <c r="H42" s="753"/>
      <c r="I42" s="753">
        <f t="shared" si="1"/>
        <v>8955.1840000000011</v>
      </c>
      <c r="J42" s="753"/>
      <c r="K42" s="753">
        <f t="shared" si="2"/>
        <v>47083</v>
      </c>
      <c r="L42" s="753"/>
      <c r="M42" s="754">
        <f t="shared" si="3"/>
        <v>34576</v>
      </c>
      <c r="N42" s="753"/>
      <c r="O42" s="753"/>
      <c r="P42" s="753"/>
      <c r="Q42" s="753">
        <f t="shared" si="4"/>
        <v>3551.5680000000002</v>
      </c>
      <c r="R42" s="753"/>
      <c r="S42" s="753">
        <f t="shared" si="5"/>
        <v>38127.567999999999</v>
      </c>
      <c r="T42" s="821"/>
      <c r="U42" s="709"/>
      <c r="V42" s="709"/>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row>
    <row r="43" spans="1:58" ht="16" customHeight="1">
      <c r="A43" s="829" t="s">
        <v>116</v>
      </c>
      <c r="B43" s="755" t="s">
        <v>119</v>
      </c>
      <c r="C43" s="831">
        <v>27</v>
      </c>
      <c r="D43" s="824"/>
      <c r="E43" s="826">
        <v>35745</v>
      </c>
      <c r="F43" s="753"/>
      <c r="G43" s="753">
        <f t="shared" si="0"/>
        <v>3712.8900000000003</v>
      </c>
      <c r="H43" s="753"/>
      <c r="I43" s="753">
        <f t="shared" si="1"/>
        <v>9257.9549999999999</v>
      </c>
      <c r="J43" s="753"/>
      <c r="K43" s="753">
        <f t="shared" si="2"/>
        <v>48716</v>
      </c>
      <c r="L43" s="753"/>
      <c r="M43" s="754">
        <f t="shared" si="3"/>
        <v>35745</v>
      </c>
      <c r="N43" s="753"/>
      <c r="O43" s="753"/>
      <c r="P43" s="753"/>
      <c r="Q43" s="753">
        <f t="shared" si="4"/>
        <v>3712.8900000000003</v>
      </c>
      <c r="R43" s="753"/>
      <c r="S43" s="753">
        <f t="shared" si="5"/>
        <v>39457.89</v>
      </c>
      <c r="T43" s="821"/>
      <c r="U43" s="827"/>
      <c r="V43" s="827"/>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row>
    <row r="44" spans="1:58" ht="16" customHeight="1">
      <c r="A44" s="829"/>
      <c r="B44" s="755" t="s">
        <v>119</v>
      </c>
      <c r="C44" s="755">
        <v>28</v>
      </c>
      <c r="D44" s="752"/>
      <c r="E44" s="826">
        <v>37123</v>
      </c>
      <c r="F44" s="753"/>
      <c r="G44" s="753">
        <f t="shared" si="0"/>
        <v>3903.0540000000005</v>
      </c>
      <c r="H44" s="753"/>
      <c r="I44" s="753">
        <f t="shared" si="1"/>
        <v>9614.857</v>
      </c>
      <c r="J44" s="753"/>
      <c r="K44" s="753">
        <f t="shared" si="2"/>
        <v>50641</v>
      </c>
      <c r="L44" s="753"/>
      <c r="M44" s="754">
        <f t="shared" si="3"/>
        <v>37123</v>
      </c>
      <c r="N44" s="753"/>
      <c r="O44" s="753"/>
      <c r="P44" s="753"/>
      <c r="Q44" s="753">
        <f t="shared" si="4"/>
        <v>3903.0540000000005</v>
      </c>
      <c r="R44" s="753"/>
      <c r="S44" s="753">
        <f t="shared" si="5"/>
        <v>41026.054000000004</v>
      </c>
      <c r="T44" s="821"/>
      <c r="U44" s="709"/>
      <c r="V44" s="709"/>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row>
    <row r="45" spans="1:58" ht="16" customHeight="1">
      <c r="A45" s="829"/>
      <c r="B45" s="751" t="s">
        <v>119</v>
      </c>
      <c r="C45" s="755">
        <v>29</v>
      </c>
      <c r="D45" s="752"/>
      <c r="E45" s="826">
        <v>38502</v>
      </c>
      <c r="F45" s="753"/>
      <c r="G45" s="753">
        <f t="shared" si="0"/>
        <v>4093.3560000000002</v>
      </c>
      <c r="H45" s="753"/>
      <c r="I45" s="753">
        <f t="shared" si="1"/>
        <v>9972.018</v>
      </c>
      <c r="J45" s="753"/>
      <c r="K45" s="753">
        <f t="shared" si="2"/>
        <v>52567</v>
      </c>
      <c r="L45" s="753"/>
      <c r="M45" s="754">
        <f t="shared" si="3"/>
        <v>38502</v>
      </c>
      <c r="N45" s="753"/>
      <c r="O45" s="753"/>
      <c r="P45" s="753"/>
      <c r="Q45" s="753">
        <f t="shared" si="4"/>
        <v>4093.3560000000002</v>
      </c>
      <c r="R45" s="753"/>
      <c r="S45" s="753">
        <f t="shared" si="5"/>
        <v>42595.356</v>
      </c>
      <c r="T45" s="821"/>
      <c r="U45" s="709"/>
      <c r="V45" s="709"/>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row>
    <row r="46" spans="1:58" ht="16" customHeight="1">
      <c r="A46" s="829" t="s">
        <v>1075</v>
      </c>
      <c r="B46" s="755" t="s">
        <v>119</v>
      </c>
      <c r="C46" s="831">
        <v>30</v>
      </c>
      <c r="D46" s="824"/>
      <c r="E46" s="826">
        <v>39880</v>
      </c>
      <c r="F46" s="753"/>
      <c r="G46" s="753">
        <f t="shared" si="0"/>
        <v>4283.5200000000004</v>
      </c>
      <c r="H46" s="753"/>
      <c r="I46" s="753">
        <f t="shared" si="1"/>
        <v>10328.92</v>
      </c>
      <c r="J46" s="753"/>
      <c r="K46" s="753">
        <f t="shared" si="2"/>
        <v>54493</v>
      </c>
      <c r="L46" s="753"/>
      <c r="M46" s="754">
        <f t="shared" si="3"/>
        <v>39880</v>
      </c>
      <c r="N46" s="753"/>
      <c r="O46" s="753"/>
      <c r="P46" s="753"/>
      <c r="Q46" s="753">
        <f t="shared" si="4"/>
        <v>4283.5200000000004</v>
      </c>
      <c r="R46" s="753"/>
      <c r="S46" s="753">
        <f t="shared" si="5"/>
        <v>44163.520000000004</v>
      </c>
      <c r="T46" s="821"/>
      <c r="U46" s="827"/>
      <c r="V46" s="827"/>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row>
    <row r="47" spans="1:58" ht="16" customHeight="1">
      <c r="A47" s="829" t="s">
        <v>1075</v>
      </c>
      <c r="B47" s="755"/>
      <c r="C47" s="755">
        <v>31</v>
      </c>
      <c r="D47" s="752"/>
      <c r="E47" s="826">
        <v>41541</v>
      </c>
      <c r="F47" s="753"/>
      <c r="G47" s="753">
        <f t="shared" si="0"/>
        <v>4512.7380000000003</v>
      </c>
      <c r="H47" s="753"/>
      <c r="I47" s="753">
        <f t="shared" si="1"/>
        <v>10759.119000000001</v>
      </c>
      <c r="J47" s="753"/>
      <c r="K47" s="753">
        <f t="shared" si="2"/>
        <v>56813</v>
      </c>
      <c r="L47" s="753"/>
      <c r="M47" s="754">
        <f t="shared" si="3"/>
        <v>41541</v>
      </c>
      <c r="N47" s="753"/>
      <c r="O47" s="753"/>
      <c r="P47" s="753"/>
      <c r="Q47" s="753">
        <f t="shared" si="4"/>
        <v>4512.7380000000003</v>
      </c>
      <c r="R47" s="753"/>
      <c r="S47" s="753">
        <f t="shared" si="5"/>
        <v>46053.737999999998</v>
      </c>
      <c r="T47" s="821"/>
      <c r="U47" s="709"/>
      <c r="V47" s="709"/>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row>
    <row r="48" spans="1:58" ht="16" customHeight="1">
      <c r="A48" s="829" t="s">
        <v>1075</v>
      </c>
      <c r="B48" s="751"/>
      <c r="C48" s="755">
        <v>32</v>
      </c>
      <c r="D48" s="752"/>
      <c r="E48" s="826">
        <v>43201</v>
      </c>
      <c r="F48" s="753"/>
      <c r="G48" s="753">
        <f t="shared" si="0"/>
        <v>4741.8180000000002</v>
      </c>
      <c r="H48" s="753"/>
      <c r="I48" s="753">
        <f t="shared" si="1"/>
        <v>11189.059000000001</v>
      </c>
      <c r="J48" s="753"/>
      <c r="K48" s="753">
        <f t="shared" si="2"/>
        <v>59132</v>
      </c>
      <c r="L48" s="753"/>
      <c r="M48" s="754">
        <f t="shared" si="3"/>
        <v>43201</v>
      </c>
      <c r="N48" s="753"/>
      <c r="O48" s="753"/>
      <c r="P48" s="753"/>
      <c r="Q48" s="753">
        <f t="shared" si="4"/>
        <v>4741.8180000000002</v>
      </c>
      <c r="R48" s="753"/>
      <c r="S48" s="753">
        <f t="shared" si="5"/>
        <v>47942.817999999999</v>
      </c>
      <c r="T48" s="821"/>
      <c r="U48" s="709"/>
      <c r="V48" s="709"/>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row>
    <row r="49" spans="1:58" ht="16" customHeight="1">
      <c r="A49" s="832" t="s">
        <v>1075</v>
      </c>
      <c r="B49" s="755" t="s">
        <v>1078</v>
      </c>
      <c r="C49" s="831">
        <v>33</v>
      </c>
      <c r="D49" s="824"/>
      <c r="E49" s="826">
        <v>44863</v>
      </c>
      <c r="F49" s="753"/>
      <c r="G49" s="753">
        <f t="shared" si="0"/>
        <v>4971.174</v>
      </c>
      <c r="H49" s="753"/>
      <c r="I49" s="753">
        <f t="shared" si="1"/>
        <v>11619.517</v>
      </c>
      <c r="J49" s="753"/>
      <c r="K49" s="753">
        <f t="shared" si="2"/>
        <v>61454</v>
      </c>
      <c r="L49" s="753"/>
      <c r="M49" s="754">
        <f t="shared" si="3"/>
        <v>44863</v>
      </c>
      <c r="N49" s="753"/>
      <c r="O49" s="753"/>
      <c r="P49" s="753"/>
      <c r="Q49" s="753">
        <f t="shared" si="4"/>
        <v>4971.174</v>
      </c>
      <c r="R49" s="753"/>
      <c r="S49" s="753">
        <f t="shared" si="5"/>
        <v>49834.173999999999</v>
      </c>
      <c r="T49" s="821"/>
      <c r="U49" s="827"/>
      <c r="V49" s="827"/>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c r="BC49" s="616"/>
      <c r="BD49" s="616"/>
      <c r="BE49" s="616"/>
      <c r="BF49" s="616"/>
    </row>
    <row r="50" spans="1:58" ht="16" customHeight="1">
      <c r="A50" s="833"/>
      <c r="B50" s="755" t="s">
        <v>1078</v>
      </c>
      <c r="C50" s="755">
        <v>34</v>
      </c>
      <c r="D50" s="752"/>
      <c r="E50" s="826">
        <v>47180</v>
      </c>
      <c r="F50" s="753"/>
      <c r="G50" s="753">
        <f t="shared" si="0"/>
        <v>5290.92</v>
      </c>
      <c r="H50" s="753"/>
      <c r="I50" s="753">
        <f t="shared" si="1"/>
        <v>12219.62</v>
      </c>
      <c r="J50" s="753"/>
      <c r="K50" s="753">
        <f t="shared" si="2"/>
        <v>64691</v>
      </c>
      <c r="L50" s="753"/>
      <c r="M50" s="754">
        <f t="shared" si="3"/>
        <v>47180</v>
      </c>
      <c r="N50" s="753"/>
      <c r="O50" s="753"/>
      <c r="P50" s="753"/>
      <c r="Q50" s="753">
        <f t="shared" si="4"/>
        <v>5290.92</v>
      </c>
      <c r="R50" s="753"/>
      <c r="S50" s="753">
        <f t="shared" si="5"/>
        <v>52470.92</v>
      </c>
      <c r="T50" s="821"/>
      <c r="U50" s="709"/>
      <c r="V50" s="709"/>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row>
    <row r="51" spans="1:58" ht="16" customHeight="1">
      <c r="A51" s="832"/>
      <c r="B51" s="751" t="s">
        <v>1078</v>
      </c>
      <c r="C51" s="755">
        <v>35</v>
      </c>
      <c r="D51" s="752"/>
      <c r="E51" s="826">
        <v>49498</v>
      </c>
      <c r="F51" s="753"/>
      <c r="G51" s="753">
        <f t="shared" si="0"/>
        <v>5610.8040000000001</v>
      </c>
      <c r="H51" s="753"/>
      <c r="I51" s="753">
        <f t="shared" si="1"/>
        <v>12819.982</v>
      </c>
      <c r="J51" s="753"/>
      <c r="K51" s="753">
        <f t="shared" si="2"/>
        <v>67929</v>
      </c>
      <c r="L51" s="753"/>
      <c r="M51" s="754">
        <f t="shared" si="3"/>
        <v>49498</v>
      </c>
      <c r="N51" s="753"/>
      <c r="O51" s="753"/>
      <c r="P51" s="753"/>
      <c r="Q51" s="753">
        <f t="shared" si="4"/>
        <v>5610.8040000000001</v>
      </c>
      <c r="R51" s="753"/>
      <c r="S51" s="753">
        <f t="shared" si="5"/>
        <v>55108.804000000004</v>
      </c>
      <c r="T51" s="821"/>
      <c r="U51" s="709"/>
      <c r="V51" s="709"/>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row>
    <row r="52" spans="1:58" ht="16" customHeight="1">
      <c r="A52" s="832" t="s">
        <v>1082</v>
      </c>
      <c r="B52" s="755" t="s">
        <v>1078</v>
      </c>
      <c r="C52" s="755">
        <v>36</v>
      </c>
      <c r="D52" s="752"/>
      <c r="E52" s="826">
        <v>51817</v>
      </c>
      <c r="F52" s="753"/>
      <c r="G52" s="753">
        <f t="shared" si="0"/>
        <v>5930.8260000000009</v>
      </c>
      <c r="H52" s="753"/>
      <c r="I52" s="753">
        <f t="shared" si="1"/>
        <v>13420.603000000001</v>
      </c>
      <c r="J52" s="753"/>
      <c r="K52" s="753">
        <f t="shared" si="2"/>
        <v>71169</v>
      </c>
      <c r="L52" s="753"/>
      <c r="M52" s="754">
        <f t="shared" si="3"/>
        <v>51817</v>
      </c>
      <c r="N52" s="753"/>
      <c r="O52" s="753"/>
      <c r="P52" s="753"/>
      <c r="Q52" s="753">
        <f t="shared" si="4"/>
        <v>5930.8260000000009</v>
      </c>
      <c r="R52" s="753"/>
      <c r="S52" s="753">
        <f t="shared" si="5"/>
        <v>57747.826000000001</v>
      </c>
      <c r="T52" s="821"/>
      <c r="U52" s="709"/>
      <c r="V52" s="709"/>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row>
    <row r="53" spans="1:58" ht="16" customHeight="1">
      <c r="A53" s="832" t="s">
        <v>1082</v>
      </c>
      <c r="B53" s="755"/>
      <c r="C53" s="755">
        <v>37</v>
      </c>
      <c r="D53" s="752"/>
      <c r="E53" s="826">
        <v>53555</v>
      </c>
      <c r="F53" s="753"/>
      <c r="G53" s="753">
        <f t="shared" si="0"/>
        <v>6170.67</v>
      </c>
      <c r="H53" s="753"/>
      <c r="I53" s="753">
        <f t="shared" si="1"/>
        <v>13870.745000000001</v>
      </c>
      <c r="J53" s="753"/>
      <c r="K53" s="753">
        <f t="shared" si="2"/>
        <v>73597</v>
      </c>
      <c r="L53" s="753"/>
      <c r="M53" s="754">
        <f t="shared" si="3"/>
        <v>53555</v>
      </c>
      <c r="N53" s="753"/>
      <c r="O53" s="753"/>
      <c r="P53" s="753"/>
      <c r="Q53" s="753">
        <f t="shared" si="4"/>
        <v>6170.67</v>
      </c>
      <c r="R53" s="753"/>
      <c r="S53" s="753">
        <f t="shared" si="5"/>
        <v>59725.67</v>
      </c>
      <c r="T53" s="821"/>
      <c r="U53" s="709"/>
      <c r="V53" s="709"/>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row>
    <row r="54" spans="1:58" ht="16" customHeight="1">
      <c r="A54" s="832" t="s">
        <v>1082</v>
      </c>
      <c r="B54" s="751"/>
      <c r="C54" s="755">
        <v>38</v>
      </c>
      <c r="D54" s="752"/>
      <c r="E54" s="826">
        <v>55292</v>
      </c>
      <c r="F54" s="753"/>
      <c r="G54" s="753">
        <f t="shared" si="0"/>
        <v>6410.3760000000002</v>
      </c>
      <c r="H54" s="753"/>
      <c r="I54" s="753">
        <f t="shared" si="1"/>
        <v>14320.628000000001</v>
      </c>
      <c r="J54" s="753"/>
      <c r="K54" s="753">
        <f t="shared" si="2"/>
        <v>76023</v>
      </c>
      <c r="L54" s="753"/>
      <c r="M54" s="754">
        <f t="shared" si="3"/>
        <v>55292</v>
      </c>
      <c r="N54" s="753"/>
      <c r="O54" s="753"/>
      <c r="P54" s="753"/>
      <c r="Q54" s="753">
        <f t="shared" si="4"/>
        <v>6410.3760000000002</v>
      </c>
      <c r="R54" s="753"/>
      <c r="S54" s="753">
        <f t="shared" si="5"/>
        <v>61702.376000000004</v>
      </c>
      <c r="T54" s="821"/>
      <c r="U54" s="709"/>
      <c r="V54" s="709"/>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c r="BC54" s="616"/>
      <c r="BD54" s="616"/>
      <c r="BE54" s="616"/>
      <c r="BF54" s="616"/>
    </row>
    <row r="55" spans="1:58" ht="16" customHeight="1">
      <c r="A55" s="832" t="s">
        <v>1082</v>
      </c>
      <c r="B55" s="755" t="s">
        <v>1086</v>
      </c>
      <c r="C55" s="755">
        <v>39</v>
      </c>
      <c r="D55" s="752"/>
      <c r="E55" s="826">
        <v>57029</v>
      </c>
      <c r="F55" s="753"/>
      <c r="G55" s="753">
        <f t="shared" si="0"/>
        <v>6650.0820000000003</v>
      </c>
      <c r="H55" s="753"/>
      <c r="I55" s="753">
        <f t="shared" si="1"/>
        <v>14770.511</v>
      </c>
      <c r="J55" s="753"/>
      <c r="K55" s="753">
        <f t="shared" si="2"/>
        <v>78450</v>
      </c>
      <c r="L55" s="753"/>
      <c r="M55" s="754">
        <f t="shared" si="3"/>
        <v>57029</v>
      </c>
      <c r="N55" s="753"/>
      <c r="O55" s="753"/>
      <c r="P55" s="753"/>
      <c r="Q55" s="753">
        <f t="shared" si="4"/>
        <v>6650.0820000000003</v>
      </c>
      <c r="R55" s="753"/>
      <c r="S55" s="753">
        <f t="shared" si="5"/>
        <v>63679.082000000002</v>
      </c>
      <c r="T55" s="821"/>
      <c r="U55" s="709"/>
      <c r="V55" s="709"/>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c r="BC55" s="616"/>
      <c r="BD55" s="616"/>
      <c r="BE55" s="616"/>
      <c r="BF55" s="616"/>
    </row>
    <row r="56" spans="1:58" ht="16" customHeight="1">
      <c r="A56" s="832"/>
      <c r="B56" s="755" t="s">
        <v>1086</v>
      </c>
      <c r="C56" s="755">
        <v>40</v>
      </c>
      <c r="D56" s="752"/>
      <c r="E56" s="826">
        <v>58767</v>
      </c>
      <c r="F56" s="753"/>
      <c r="G56" s="753">
        <f t="shared" si="0"/>
        <v>6889.9260000000004</v>
      </c>
      <c r="H56" s="753"/>
      <c r="I56" s="753">
        <f t="shared" si="1"/>
        <v>15220.653</v>
      </c>
      <c r="J56" s="753"/>
      <c r="K56" s="753">
        <f t="shared" si="2"/>
        <v>80878</v>
      </c>
      <c r="L56" s="753"/>
      <c r="M56" s="754">
        <f t="shared" si="3"/>
        <v>58767</v>
      </c>
      <c r="N56" s="753"/>
      <c r="O56" s="753"/>
      <c r="P56" s="753"/>
      <c r="Q56" s="753">
        <f t="shared" si="4"/>
        <v>6889.9260000000004</v>
      </c>
      <c r="R56" s="753"/>
      <c r="S56" s="753">
        <f t="shared" si="5"/>
        <v>65656.926000000007</v>
      </c>
      <c r="T56" s="821"/>
      <c r="U56" s="709"/>
      <c r="V56" s="709"/>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row>
    <row r="57" spans="1:58" ht="16" customHeight="1">
      <c r="A57" s="832"/>
      <c r="B57" s="751" t="s">
        <v>1086</v>
      </c>
      <c r="C57" s="755">
        <v>41</v>
      </c>
      <c r="D57" s="752"/>
      <c r="E57" s="826">
        <v>60506</v>
      </c>
      <c r="F57" s="753"/>
      <c r="G57" s="753">
        <f t="shared" si="0"/>
        <v>7129.9080000000004</v>
      </c>
      <c r="H57" s="753"/>
      <c r="I57" s="753">
        <f t="shared" si="1"/>
        <v>15671.054</v>
      </c>
      <c r="J57" s="753"/>
      <c r="K57" s="753">
        <f t="shared" si="2"/>
        <v>83307</v>
      </c>
      <c r="L57" s="753"/>
      <c r="M57" s="754">
        <f t="shared" si="3"/>
        <v>60506</v>
      </c>
      <c r="N57" s="753"/>
      <c r="O57" s="753"/>
      <c r="P57" s="753"/>
      <c r="Q57" s="753">
        <f t="shared" si="4"/>
        <v>7129.9080000000004</v>
      </c>
      <c r="R57" s="753"/>
      <c r="S57" s="753">
        <f t="shared" si="5"/>
        <v>67635.907999999996</v>
      </c>
      <c r="T57" s="821"/>
      <c r="U57" s="709"/>
      <c r="V57" s="709"/>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c r="BC57" s="616"/>
      <c r="BD57" s="616"/>
      <c r="BE57" s="616"/>
      <c r="BF57" s="616"/>
    </row>
    <row r="58" spans="1:58" ht="16" customHeight="1">
      <c r="A58" s="832" t="s">
        <v>1090</v>
      </c>
      <c r="B58" s="755" t="s">
        <v>1086</v>
      </c>
      <c r="C58" s="755">
        <v>42</v>
      </c>
      <c r="D58" s="752"/>
      <c r="E58" s="826">
        <v>62244</v>
      </c>
      <c r="F58" s="753"/>
      <c r="G58" s="753">
        <f t="shared" si="0"/>
        <v>7369.7520000000004</v>
      </c>
      <c r="H58" s="753"/>
      <c r="I58" s="753">
        <f t="shared" si="1"/>
        <v>16121.196</v>
      </c>
      <c r="J58" s="753"/>
      <c r="K58" s="753">
        <f t="shared" si="2"/>
        <v>85735</v>
      </c>
      <c r="L58" s="753"/>
      <c r="M58" s="754">
        <f t="shared" si="3"/>
        <v>62244</v>
      </c>
      <c r="N58" s="753"/>
      <c r="O58" s="753"/>
      <c r="P58" s="753"/>
      <c r="Q58" s="753">
        <f t="shared" si="4"/>
        <v>7369.7520000000004</v>
      </c>
      <c r="R58" s="753"/>
      <c r="S58" s="753">
        <f t="shared" si="5"/>
        <v>69613.752000000008</v>
      </c>
      <c r="T58" s="821"/>
      <c r="U58" s="709"/>
      <c r="V58" s="709"/>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row>
    <row r="59" spans="1:58" ht="16" customHeight="1">
      <c r="A59" s="832" t="s">
        <v>1090</v>
      </c>
      <c r="B59" s="755"/>
      <c r="C59" s="755">
        <v>43</v>
      </c>
      <c r="D59" s="752"/>
      <c r="E59" s="826">
        <v>63980</v>
      </c>
      <c r="F59" s="753"/>
      <c r="G59" s="753">
        <f t="shared" si="0"/>
        <v>7609.3200000000006</v>
      </c>
      <c r="H59" s="753"/>
      <c r="I59" s="753">
        <f t="shared" si="1"/>
        <v>16570.82</v>
      </c>
      <c r="J59" s="753"/>
      <c r="K59" s="753">
        <f t="shared" si="2"/>
        <v>88160</v>
      </c>
      <c r="L59" s="753"/>
      <c r="M59" s="754">
        <f t="shared" si="3"/>
        <v>63980</v>
      </c>
      <c r="N59" s="753"/>
      <c r="O59" s="753"/>
      <c r="P59" s="753"/>
      <c r="Q59" s="753">
        <f t="shared" si="4"/>
        <v>7609.3200000000006</v>
      </c>
      <c r="R59" s="753"/>
      <c r="S59" s="753">
        <f t="shared" si="5"/>
        <v>71589.320000000007</v>
      </c>
      <c r="T59" s="821"/>
      <c r="U59" s="709"/>
      <c r="V59" s="709"/>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c r="BC59" s="616"/>
      <c r="BD59" s="616"/>
      <c r="BE59" s="616"/>
      <c r="BF59" s="616"/>
    </row>
    <row r="60" spans="1:58" ht="16" customHeight="1">
      <c r="A60" s="832" t="s">
        <v>1090</v>
      </c>
      <c r="B60" s="751"/>
      <c r="C60" s="755">
        <v>44</v>
      </c>
      <c r="D60" s="752"/>
      <c r="E60" s="826">
        <v>65719</v>
      </c>
      <c r="F60" s="753"/>
      <c r="G60" s="753">
        <f t="shared" si="0"/>
        <v>7849.3020000000006</v>
      </c>
      <c r="H60" s="753"/>
      <c r="I60" s="753">
        <f t="shared" si="1"/>
        <v>17021.221000000001</v>
      </c>
      <c r="J60" s="753"/>
      <c r="K60" s="753">
        <f t="shared" si="2"/>
        <v>90589</v>
      </c>
      <c r="L60" s="753"/>
      <c r="M60" s="754">
        <f t="shared" si="3"/>
        <v>65719</v>
      </c>
      <c r="N60" s="753"/>
      <c r="O60" s="753"/>
      <c r="P60" s="753"/>
      <c r="Q60" s="753">
        <f t="shared" si="4"/>
        <v>7849.3020000000006</v>
      </c>
      <c r="R60" s="753"/>
      <c r="S60" s="753">
        <f t="shared" si="5"/>
        <v>73568.301999999996</v>
      </c>
      <c r="T60" s="821"/>
      <c r="U60" s="709"/>
      <c r="V60" s="709"/>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c r="BC60" s="616"/>
      <c r="BD60" s="616"/>
      <c r="BE60" s="616"/>
      <c r="BF60" s="616"/>
    </row>
    <row r="61" spans="1:58" ht="16" customHeight="1">
      <c r="A61" s="832" t="s">
        <v>1090</v>
      </c>
      <c r="B61" s="755" t="s">
        <v>1094</v>
      </c>
      <c r="C61" s="755">
        <v>45</v>
      </c>
      <c r="D61" s="752"/>
      <c r="E61" s="826">
        <v>67456</v>
      </c>
      <c r="F61" s="753"/>
      <c r="G61" s="753">
        <f t="shared" si="0"/>
        <v>8089.0080000000007</v>
      </c>
      <c r="H61" s="753"/>
      <c r="I61" s="753">
        <f t="shared" si="1"/>
        <v>17471.103999999999</v>
      </c>
      <c r="J61" s="753"/>
      <c r="K61" s="753">
        <f t="shared" si="2"/>
        <v>93016</v>
      </c>
      <c r="L61" s="753"/>
      <c r="M61" s="754">
        <f t="shared" si="3"/>
        <v>67456</v>
      </c>
      <c r="N61" s="753"/>
      <c r="O61" s="753"/>
      <c r="P61" s="753"/>
      <c r="Q61" s="753">
        <f t="shared" si="4"/>
        <v>8089.0080000000007</v>
      </c>
      <c r="R61" s="753"/>
      <c r="S61" s="753">
        <f t="shared" si="5"/>
        <v>75545.008000000002</v>
      </c>
      <c r="T61" s="821"/>
      <c r="U61" s="709"/>
      <c r="V61" s="709"/>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c r="BC61" s="616"/>
      <c r="BD61" s="616"/>
      <c r="BE61" s="616"/>
      <c r="BF61" s="616"/>
    </row>
    <row r="62" spans="1:58" ht="16" customHeight="1">
      <c r="A62" s="832"/>
      <c r="B62" s="755" t="s">
        <v>1094</v>
      </c>
      <c r="C62" s="755">
        <v>46</v>
      </c>
      <c r="D62" s="752"/>
      <c r="E62" s="826">
        <v>69194</v>
      </c>
      <c r="F62" s="753"/>
      <c r="G62" s="753">
        <f t="shared" si="0"/>
        <v>8328.8520000000008</v>
      </c>
      <c r="H62" s="753"/>
      <c r="I62" s="753">
        <f t="shared" si="1"/>
        <v>17921.245999999999</v>
      </c>
      <c r="J62" s="753"/>
      <c r="K62" s="753">
        <f t="shared" si="2"/>
        <v>95444</v>
      </c>
      <c r="L62" s="753"/>
      <c r="M62" s="754">
        <f t="shared" si="3"/>
        <v>69194</v>
      </c>
      <c r="N62" s="753"/>
      <c r="O62" s="753"/>
      <c r="P62" s="753"/>
      <c r="Q62" s="753">
        <f t="shared" si="4"/>
        <v>8328.8520000000008</v>
      </c>
      <c r="R62" s="753"/>
      <c r="S62" s="753">
        <f t="shared" si="5"/>
        <v>77522.851999999999</v>
      </c>
      <c r="T62" s="821"/>
      <c r="U62" s="709"/>
      <c r="V62" s="709"/>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row>
    <row r="63" spans="1:58" ht="16" customHeight="1">
      <c r="A63" s="832"/>
      <c r="B63" s="755" t="s">
        <v>1094</v>
      </c>
      <c r="C63" s="755">
        <v>47</v>
      </c>
      <c r="D63" s="752"/>
      <c r="E63" s="826">
        <v>70931</v>
      </c>
      <c r="F63" s="753"/>
      <c r="G63" s="753">
        <f t="shared" si="0"/>
        <v>8568.5580000000009</v>
      </c>
      <c r="H63" s="753"/>
      <c r="I63" s="753">
        <f t="shared" si="1"/>
        <v>18371.129000000001</v>
      </c>
      <c r="J63" s="753"/>
      <c r="K63" s="753">
        <f t="shared" si="2"/>
        <v>97871</v>
      </c>
      <c r="L63" s="753"/>
      <c r="M63" s="754">
        <f t="shared" si="3"/>
        <v>70931</v>
      </c>
      <c r="N63" s="753"/>
      <c r="O63" s="753"/>
      <c r="P63" s="753"/>
      <c r="Q63" s="753">
        <f t="shared" si="4"/>
        <v>8568.5580000000009</v>
      </c>
      <c r="R63" s="753"/>
      <c r="S63" s="753">
        <f t="shared" si="5"/>
        <v>79499.558000000005</v>
      </c>
      <c r="T63" s="821"/>
      <c r="U63" s="709"/>
      <c r="V63" s="709"/>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c r="BC63" s="616"/>
      <c r="BD63" s="616"/>
      <c r="BE63" s="616"/>
      <c r="BF63" s="616"/>
    </row>
    <row r="64" spans="1:58" ht="16" customHeight="1">
      <c r="A64" s="832"/>
      <c r="B64" s="755" t="s">
        <v>1094</v>
      </c>
      <c r="C64" s="755">
        <v>48</v>
      </c>
      <c r="D64" s="752"/>
      <c r="E64" s="826">
        <v>72670</v>
      </c>
      <c r="F64" s="753"/>
      <c r="G64" s="753">
        <f t="shared" si="0"/>
        <v>8808.5400000000009</v>
      </c>
      <c r="H64" s="753"/>
      <c r="I64" s="753">
        <f t="shared" si="1"/>
        <v>18821.53</v>
      </c>
      <c r="J64" s="753"/>
      <c r="K64" s="753">
        <f t="shared" si="2"/>
        <v>100301</v>
      </c>
      <c r="L64" s="753"/>
      <c r="M64" s="754">
        <f t="shared" si="3"/>
        <v>72670</v>
      </c>
      <c r="N64" s="753"/>
      <c r="O64" s="753"/>
      <c r="P64" s="753"/>
      <c r="Q64" s="753">
        <f t="shared" si="4"/>
        <v>8808.5400000000009</v>
      </c>
      <c r="R64" s="753"/>
      <c r="S64" s="753">
        <f t="shared" si="5"/>
        <v>81478.540000000008</v>
      </c>
      <c r="T64" s="821"/>
      <c r="U64" s="709"/>
      <c r="V64" s="709"/>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row>
    <row r="65" spans="1:58" ht="16" customHeight="1">
      <c r="A65" s="832"/>
      <c r="B65" s="144" t="s">
        <v>113</v>
      </c>
      <c r="C65" s="144">
        <v>24</v>
      </c>
      <c r="D65" s="752"/>
      <c r="E65" s="826">
        <f>E40*(195/224)</f>
        <v>28060.848214285714</v>
      </c>
      <c r="F65" s="753"/>
      <c r="G65" s="753">
        <f t="shared" si="0"/>
        <v>2652.4770535714288</v>
      </c>
      <c r="H65" s="753"/>
      <c r="I65" s="753">
        <f t="shared" si="1"/>
        <v>7267.7596874999999</v>
      </c>
      <c r="J65" s="753"/>
      <c r="K65" s="753">
        <f t="shared" ref="K65" si="6">E65+ROUND(G65,0)+ROUND(I65,0)</f>
        <v>37980.84821428571</v>
      </c>
      <c r="L65" s="753"/>
      <c r="M65" s="754">
        <f t="shared" ref="M65" si="7">E65</f>
        <v>28060.848214285714</v>
      </c>
      <c r="N65" s="753"/>
      <c r="O65" s="753"/>
      <c r="P65" s="753"/>
      <c r="Q65" s="753">
        <f t="shared" si="4"/>
        <v>2652.4770535714288</v>
      </c>
      <c r="R65" s="753"/>
      <c r="S65" s="753">
        <f t="shared" ref="S65" si="8">SUM(M65:Q65)</f>
        <v>30713.325267857144</v>
      </c>
      <c r="T65" s="821"/>
      <c r="U65" s="142" t="s">
        <v>1228</v>
      </c>
      <c r="V65" s="709"/>
      <c r="W65" s="616"/>
      <c r="X65" s="616"/>
      <c r="Y65" s="616"/>
      <c r="Z65" s="616"/>
      <c r="AA65" s="1172" t="s">
        <v>942</v>
      </c>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row>
    <row r="66" spans="1:58" ht="16" customHeight="1">
      <c r="A66" s="832"/>
      <c r="B66" s="143" t="s">
        <v>113</v>
      </c>
      <c r="C66" s="143">
        <v>24</v>
      </c>
      <c r="D66" s="752"/>
      <c r="E66" s="826">
        <f>E40*(195/224)</f>
        <v>28060.848214285714</v>
      </c>
      <c r="F66" s="753"/>
      <c r="G66" s="753">
        <f t="shared" si="0"/>
        <v>2652.4770535714288</v>
      </c>
      <c r="H66" s="753"/>
      <c r="I66" s="753">
        <f t="shared" si="1"/>
        <v>7267.7596874999999</v>
      </c>
      <c r="J66" s="753"/>
      <c r="K66" s="753">
        <f t="shared" ref="K66" si="9">E66+ROUND(G66,0)+ROUND(I66,0)</f>
        <v>37980.84821428571</v>
      </c>
      <c r="L66" s="753"/>
      <c r="M66" s="754">
        <f t="shared" ref="M66" si="10">E66</f>
        <v>28060.848214285714</v>
      </c>
      <c r="N66" s="753"/>
      <c r="O66" s="753"/>
      <c r="P66" s="753"/>
      <c r="Q66" s="753">
        <f t="shared" si="4"/>
        <v>2652.4770535714288</v>
      </c>
      <c r="R66" s="753"/>
      <c r="S66" s="753">
        <f t="shared" ref="S66" si="11">SUM(M66:Q66)</f>
        <v>30713.325267857144</v>
      </c>
      <c r="T66" s="821"/>
      <c r="U66" s="142" t="s">
        <v>1229</v>
      </c>
      <c r="V66" s="709"/>
      <c r="W66" s="616"/>
      <c r="X66" s="616"/>
      <c r="Y66" s="616"/>
      <c r="Z66" s="616"/>
      <c r="AA66" s="1172"/>
      <c r="AB66" s="616"/>
      <c r="AC66" s="616"/>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row>
    <row r="67" spans="1:58" ht="16" customHeight="1">
      <c r="A67" s="832"/>
      <c r="B67" s="145" t="s">
        <v>1058</v>
      </c>
      <c r="C67" s="145">
        <v>15</v>
      </c>
      <c r="D67" s="752"/>
      <c r="E67" s="826">
        <f>E31*(195/224)</f>
        <v>20710.915178571428</v>
      </c>
      <c r="F67" s="753"/>
      <c r="G67" s="753">
        <f t="shared" si="0"/>
        <v>1638.1862946428571</v>
      </c>
      <c r="H67" s="753"/>
      <c r="I67" s="753">
        <f t="shared" si="1"/>
        <v>5364.1270312500001</v>
      </c>
      <c r="J67" s="753"/>
      <c r="K67" s="753">
        <f t="shared" ref="K67" si="12">E67+ROUND(G67,0)+ROUND(I67,0)</f>
        <v>27712.915178571428</v>
      </c>
      <c r="L67" s="753"/>
      <c r="M67" s="754">
        <f t="shared" ref="M67" si="13">E67</f>
        <v>20710.915178571428</v>
      </c>
      <c r="N67" s="753"/>
      <c r="O67" s="753"/>
      <c r="P67" s="753"/>
      <c r="Q67" s="753">
        <f t="shared" si="4"/>
        <v>1638.1862946428571</v>
      </c>
      <c r="R67" s="753"/>
      <c r="S67" s="753">
        <f t="shared" ref="S67" si="14">SUM(M67:Q67)</f>
        <v>22349.101473214283</v>
      </c>
      <c r="T67" s="821"/>
      <c r="U67" s="142" t="s">
        <v>1230</v>
      </c>
      <c r="V67" s="709"/>
      <c r="W67" s="616"/>
      <c r="X67" s="616"/>
      <c r="Y67" s="616"/>
      <c r="Z67" s="616"/>
      <c r="AA67" s="1172"/>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row>
    <row r="68" spans="1:58" ht="16" customHeight="1">
      <c r="A68" s="832"/>
      <c r="B68" s="883" t="s">
        <v>113</v>
      </c>
      <c r="C68" s="883">
        <v>24</v>
      </c>
      <c r="D68" s="752"/>
      <c r="E68" s="826">
        <f>(E40*(195/224))*1.02</f>
        <v>28622.065178571429</v>
      </c>
      <c r="F68" s="753"/>
      <c r="G68" s="753">
        <f t="shared" si="0"/>
        <v>2729.9249946428577</v>
      </c>
      <c r="H68" s="753"/>
      <c r="I68" s="753">
        <f>$E68*($W$12+0.01)</f>
        <v>7699.3355330357144</v>
      </c>
      <c r="J68" s="753"/>
      <c r="K68" s="753">
        <f t="shared" ref="K68:K70" si="15">E68+ROUND(G68,0)+ROUND(I68,0)</f>
        <v>39051.065178571429</v>
      </c>
      <c r="L68" s="753"/>
      <c r="M68" s="754">
        <f t="shared" ref="M68:M70" si="16">E68</f>
        <v>28622.065178571429</v>
      </c>
      <c r="N68" s="753"/>
      <c r="O68" s="753"/>
      <c r="P68" s="753"/>
      <c r="Q68" s="753">
        <f t="shared" si="4"/>
        <v>2729.9249946428577</v>
      </c>
      <c r="R68" s="753"/>
      <c r="S68" s="753">
        <f t="shared" ref="S68:S70" si="17">SUM(M68:Q68)</f>
        <v>31351.990173214286</v>
      </c>
      <c r="T68" s="821"/>
      <c r="U68" s="885" t="s">
        <v>1228</v>
      </c>
      <c r="V68" s="886"/>
      <c r="W68" s="887"/>
      <c r="X68" s="887"/>
      <c r="Y68" s="887"/>
      <c r="Z68" s="887"/>
      <c r="AA68" s="1173" t="s">
        <v>943</v>
      </c>
      <c r="AB68" s="1165" t="s">
        <v>1231</v>
      </c>
      <c r="AC68" s="1165"/>
      <c r="AD68" s="1165"/>
      <c r="AE68" s="887"/>
      <c r="AF68" s="889">
        <f>E68*1.25%</f>
        <v>357.77581473214286</v>
      </c>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row>
    <row r="69" spans="1:58" ht="16" customHeight="1">
      <c r="A69" s="832"/>
      <c r="B69" s="883" t="s">
        <v>113</v>
      </c>
      <c r="C69" s="883">
        <v>24</v>
      </c>
      <c r="D69" s="752"/>
      <c r="E69" s="826">
        <f>(E40*(195/224))*1.02</f>
        <v>28622.065178571429</v>
      </c>
      <c r="F69" s="753"/>
      <c r="G69" s="753">
        <f t="shared" si="0"/>
        <v>2729.9249946428577</v>
      </c>
      <c r="H69" s="753"/>
      <c r="I69" s="753">
        <f t="shared" ref="I69:I70" si="18">$E69*($W$12+0.01)</f>
        <v>7699.3355330357144</v>
      </c>
      <c r="J69" s="753"/>
      <c r="K69" s="753">
        <f t="shared" si="15"/>
        <v>39051.065178571429</v>
      </c>
      <c r="L69" s="753"/>
      <c r="M69" s="754">
        <f t="shared" si="16"/>
        <v>28622.065178571429</v>
      </c>
      <c r="N69" s="753"/>
      <c r="O69" s="753"/>
      <c r="P69" s="753"/>
      <c r="Q69" s="753">
        <f t="shared" si="4"/>
        <v>2729.9249946428577</v>
      </c>
      <c r="R69" s="753"/>
      <c r="S69" s="753">
        <f t="shared" si="17"/>
        <v>31351.990173214286</v>
      </c>
      <c r="T69" s="821"/>
      <c r="U69" s="888" t="s">
        <v>1229</v>
      </c>
      <c r="V69" s="709"/>
      <c r="W69" s="616"/>
      <c r="X69" s="616"/>
      <c r="Y69" s="616"/>
      <c r="Z69" s="616"/>
      <c r="AA69" s="1172"/>
      <c r="AB69" s="1166"/>
      <c r="AC69" s="1166"/>
      <c r="AD69" s="1166"/>
      <c r="AE69" s="616"/>
      <c r="AF69" s="890">
        <f t="shared" ref="AF69:AF70" si="19">E69*1.25%</f>
        <v>357.77581473214286</v>
      </c>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row>
    <row r="70" spans="1:58" ht="16" customHeight="1">
      <c r="A70" s="832"/>
      <c r="B70" s="883" t="s">
        <v>1058</v>
      </c>
      <c r="C70" s="883">
        <v>15</v>
      </c>
      <c r="D70" s="752"/>
      <c r="E70" s="826">
        <f>(E31*(195/224))*1.02</f>
        <v>21125.133482142857</v>
      </c>
      <c r="F70" s="753"/>
      <c r="G70" s="753">
        <f t="shared" si="0"/>
        <v>1695.3484205357145</v>
      </c>
      <c r="H70" s="753"/>
      <c r="I70" s="753">
        <f t="shared" si="18"/>
        <v>5682.6609066964293</v>
      </c>
      <c r="J70" s="753"/>
      <c r="K70" s="753">
        <f t="shared" si="15"/>
        <v>28503.133482142857</v>
      </c>
      <c r="L70" s="753"/>
      <c r="M70" s="754">
        <f t="shared" si="16"/>
        <v>21125.133482142857</v>
      </c>
      <c r="N70" s="753"/>
      <c r="O70" s="753"/>
      <c r="P70" s="753"/>
      <c r="Q70" s="753">
        <f t="shared" si="4"/>
        <v>1695.3484205357145</v>
      </c>
      <c r="R70" s="753"/>
      <c r="S70" s="753">
        <f t="shared" si="17"/>
        <v>22820.48190267857</v>
      </c>
      <c r="T70" s="821"/>
      <c r="U70" s="888" t="s">
        <v>1230</v>
      </c>
      <c r="V70" s="709"/>
      <c r="W70" s="616"/>
      <c r="X70" s="616"/>
      <c r="Y70" s="616"/>
      <c r="Z70" s="616"/>
      <c r="AA70" s="1172"/>
      <c r="AB70" s="1166"/>
      <c r="AC70" s="1166"/>
      <c r="AD70" s="1166"/>
      <c r="AE70" s="616"/>
      <c r="AF70" s="890">
        <f t="shared" si="19"/>
        <v>264.06416852678575</v>
      </c>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row>
    <row r="71" spans="1:58" ht="16" customHeight="1">
      <c r="A71" s="832"/>
      <c r="B71" s="755"/>
      <c r="C71" s="755"/>
      <c r="D71" s="752"/>
      <c r="E71" s="826"/>
      <c r="F71" s="753"/>
      <c r="G71" s="753"/>
      <c r="H71" s="753"/>
      <c r="I71" s="753"/>
      <c r="J71" s="753"/>
      <c r="K71" s="753"/>
      <c r="L71" s="753"/>
      <c r="M71" s="754"/>
      <c r="N71" s="753"/>
      <c r="O71" s="753"/>
      <c r="P71" s="753"/>
      <c r="Q71" s="753"/>
      <c r="R71" s="753"/>
      <c r="S71" s="753"/>
      <c r="T71" s="821"/>
      <c r="U71" s="709"/>
      <c r="V71" s="709"/>
      <c r="W71" s="616"/>
      <c r="X71" s="616"/>
      <c r="Y71" s="616"/>
      <c r="Z71" s="616"/>
      <c r="AA71" s="616"/>
      <c r="AB71" s="616"/>
      <c r="AC71" s="616"/>
      <c r="AD71" s="616"/>
      <c r="AE71" s="616"/>
      <c r="AF71" s="884" t="s">
        <v>1232</v>
      </c>
      <c r="AG71" s="616"/>
      <c r="AH71" s="616"/>
      <c r="AI71" s="616"/>
      <c r="AJ71" s="616"/>
      <c r="AK71" s="616"/>
      <c r="AL71" s="616"/>
      <c r="AM71" s="616"/>
      <c r="AN71" s="616"/>
      <c r="AO71" s="616"/>
      <c r="AP71" s="616"/>
      <c r="AQ71" s="616"/>
      <c r="AR71" s="616"/>
      <c r="AS71" s="616"/>
      <c r="AT71" s="616"/>
      <c r="AU71" s="616"/>
      <c r="AV71" s="616"/>
      <c r="AW71" s="616"/>
      <c r="AX71" s="616"/>
      <c r="AY71" s="616"/>
      <c r="AZ71" s="616"/>
      <c r="BA71" s="616"/>
      <c r="BB71" s="616"/>
      <c r="BC71" s="616"/>
      <c r="BD71" s="616"/>
      <c r="BE71" s="616"/>
      <c r="BF71" s="616"/>
    </row>
    <row r="72" spans="1:58" ht="9" customHeight="1" thickBot="1">
      <c r="A72" s="834"/>
      <c r="B72" s="835"/>
      <c r="C72" s="835"/>
      <c r="D72" s="836"/>
      <c r="E72" s="837"/>
      <c r="F72" s="837"/>
      <c r="G72" s="837"/>
      <c r="H72" s="837"/>
      <c r="I72" s="837"/>
      <c r="J72" s="837"/>
      <c r="K72" s="837"/>
      <c r="L72" s="837"/>
      <c r="M72" s="838"/>
      <c r="N72" s="837"/>
      <c r="O72" s="837"/>
      <c r="P72" s="837"/>
      <c r="Q72" s="837"/>
      <c r="R72" s="837"/>
      <c r="S72" s="837"/>
      <c r="T72" s="839"/>
      <c r="U72" s="616"/>
      <c r="V72" s="616"/>
      <c r="W72" s="616"/>
      <c r="X72" s="616"/>
      <c r="Y72" s="616"/>
      <c r="Z72" s="616"/>
      <c r="AA72" s="616"/>
      <c r="AB72" s="616"/>
      <c r="AC72" s="616"/>
      <c r="AD72" s="616"/>
      <c r="AE72" s="616"/>
      <c r="AF72" s="616"/>
      <c r="AG72" s="616"/>
      <c r="AH72" s="616"/>
      <c r="AI72" s="616"/>
      <c r="AJ72" s="616"/>
      <c r="AK72" s="616"/>
      <c r="AL72" s="616"/>
      <c r="AM72" s="616"/>
      <c r="AN72" s="616"/>
      <c r="AO72" s="616"/>
      <c r="AP72" s="616"/>
      <c r="AQ72" s="616"/>
      <c r="AR72" s="616"/>
      <c r="AS72" s="616"/>
      <c r="AT72" s="616"/>
      <c r="AU72" s="616"/>
      <c r="AV72" s="616"/>
      <c r="AW72" s="616"/>
      <c r="AX72" s="616"/>
      <c r="AY72" s="616"/>
      <c r="AZ72" s="616"/>
      <c r="BA72" s="616"/>
      <c r="BB72" s="616"/>
      <c r="BC72" s="616"/>
      <c r="BD72" s="616"/>
      <c r="BE72" s="616"/>
      <c r="BF72" s="616"/>
    </row>
    <row r="73" spans="1:58" ht="6.75" customHeight="1" thickTop="1">
      <c r="A73" s="616"/>
      <c r="B73" s="616"/>
      <c r="C73" s="616"/>
      <c r="D73" s="616"/>
      <c r="E73" s="616"/>
      <c r="F73" s="616"/>
      <c r="G73" s="616"/>
      <c r="H73" s="616"/>
      <c r="I73" s="616"/>
      <c r="J73" s="616"/>
      <c r="K73" s="616"/>
      <c r="L73" s="616"/>
      <c r="M73" s="616"/>
      <c r="N73" s="616"/>
      <c r="O73" s="616"/>
      <c r="P73" s="616"/>
      <c r="Q73" s="616"/>
      <c r="R73" s="616"/>
      <c r="S73" s="616"/>
      <c r="T73" s="616"/>
      <c r="U73" s="616"/>
      <c r="V73" s="616"/>
      <c r="W73" s="616"/>
      <c r="X73" s="616"/>
      <c r="Y73" s="616"/>
      <c r="Z73" s="616"/>
      <c r="AA73" s="616"/>
      <c r="AB73" s="616"/>
      <c r="AC73" s="616"/>
      <c r="AD73" s="616"/>
      <c r="AE73" s="616"/>
      <c r="AF73" s="616"/>
      <c r="AG73" s="616"/>
      <c r="AH73" s="616"/>
      <c r="AI73" s="616"/>
      <c r="AJ73" s="616"/>
      <c r="AK73" s="616"/>
      <c r="AL73" s="616"/>
      <c r="AM73" s="616"/>
      <c r="AN73" s="616"/>
      <c r="AO73" s="616"/>
      <c r="AP73" s="616"/>
      <c r="AQ73" s="616"/>
      <c r="AR73" s="616"/>
      <c r="AS73" s="616"/>
      <c r="AT73" s="616"/>
      <c r="AU73" s="616"/>
      <c r="AV73" s="616"/>
      <c r="AW73" s="616"/>
      <c r="AX73" s="616"/>
      <c r="AY73" s="616"/>
      <c r="AZ73" s="616"/>
      <c r="BA73" s="616"/>
      <c r="BB73" s="616"/>
      <c r="BC73" s="616"/>
      <c r="BD73" s="616"/>
      <c r="BE73" s="616"/>
      <c r="BF73" s="616"/>
    </row>
    <row r="74" spans="1:58" ht="30" customHeight="1" thickBot="1">
      <c r="A74" s="1170" t="s">
        <v>1233</v>
      </c>
      <c r="B74" s="1171"/>
      <c r="C74" s="1171"/>
      <c r="D74" s="1171"/>
      <c r="E74" s="1171"/>
      <c r="F74" s="1171"/>
      <c r="G74" s="1171"/>
      <c r="H74" s="1171"/>
      <c r="I74" s="1171"/>
      <c r="J74" s="1171"/>
      <c r="K74" s="1171"/>
      <c r="L74" s="1171"/>
      <c r="M74" s="1171"/>
      <c r="N74" s="1171"/>
      <c r="O74" s="1171"/>
      <c r="P74" s="1171"/>
      <c r="Q74" s="1171"/>
      <c r="R74" s="1171"/>
      <c r="S74" s="1171"/>
      <c r="T74" s="1171"/>
      <c r="U74" s="616"/>
      <c r="V74" s="616"/>
      <c r="W74" s="616"/>
      <c r="X74" s="616"/>
      <c r="Y74" s="616"/>
      <c r="Z74" s="616"/>
      <c r="AA74" s="616"/>
      <c r="AB74" s="616"/>
      <c r="AC74" s="616"/>
      <c r="AD74" s="616"/>
      <c r="AE74" s="616"/>
      <c r="AF74" s="616"/>
      <c r="AG74" s="616"/>
      <c r="AH74" s="616"/>
      <c r="AI74" s="616"/>
      <c r="AJ74" s="616"/>
      <c r="AK74" s="616"/>
      <c r="AL74" s="616"/>
      <c r="AM74" s="616"/>
      <c r="AN74" s="616"/>
      <c r="AO74" s="616"/>
      <c r="AP74" s="616"/>
      <c r="AQ74" s="616"/>
      <c r="AR74" s="616"/>
      <c r="AS74" s="616"/>
      <c r="AT74" s="616"/>
      <c r="AU74" s="616"/>
      <c r="AV74" s="616"/>
      <c r="AW74" s="616"/>
      <c r="AX74" s="616"/>
      <c r="AY74" s="616"/>
      <c r="AZ74" s="616"/>
      <c r="BA74" s="616"/>
      <c r="BB74" s="616"/>
      <c r="BC74" s="616"/>
      <c r="BD74" s="616"/>
      <c r="BE74" s="616"/>
      <c r="BF74" s="616"/>
    </row>
    <row r="75" spans="1:58">
      <c r="A75" s="840"/>
      <c r="B75" s="841"/>
      <c r="C75" s="841"/>
      <c r="D75" s="841"/>
      <c r="E75" s="841"/>
      <c r="F75" s="841"/>
      <c r="G75" s="841"/>
      <c r="H75" s="841"/>
      <c r="I75" s="842" t="s">
        <v>1234</v>
      </c>
      <c r="J75" s="616"/>
      <c r="K75" s="616"/>
      <c r="L75" s="616"/>
      <c r="M75" s="616"/>
      <c r="N75" s="616"/>
      <c r="O75" s="616"/>
      <c r="P75" s="616"/>
      <c r="Q75" s="616"/>
      <c r="R75" s="616"/>
      <c r="S75" s="616"/>
      <c r="T75" s="616"/>
      <c r="U75" s="616"/>
      <c r="V75" s="616"/>
      <c r="W75" s="616"/>
      <c r="X75" s="616"/>
      <c r="Y75" s="616"/>
      <c r="Z75" s="616"/>
      <c r="AA75" s="616"/>
      <c r="AB75" s="616"/>
      <c r="AC75" s="616"/>
      <c r="AD75" s="616"/>
      <c r="AE75" s="616"/>
      <c r="AF75" s="616"/>
      <c r="AG75" s="616"/>
      <c r="AH75" s="616"/>
      <c r="AI75" s="616"/>
      <c r="AJ75" s="616"/>
      <c r="AK75" s="616"/>
      <c r="AL75" s="616"/>
      <c r="AM75" s="616"/>
      <c r="AN75" s="616"/>
      <c r="AO75" s="616"/>
      <c r="AP75" s="616"/>
      <c r="AQ75" s="616"/>
      <c r="AR75" s="616"/>
      <c r="AS75" s="616"/>
      <c r="AT75" s="616"/>
      <c r="AU75" s="616"/>
      <c r="AV75" s="616"/>
      <c r="AW75" s="616"/>
      <c r="AX75" s="616"/>
      <c r="AY75" s="616"/>
      <c r="AZ75" s="616"/>
      <c r="BA75" s="616"/>
      <c r="BB75" s="616"/>
      <c r="BC75" s="616"/>
      <c r="BD75" s="616"/>
      <c r="BE75" s="616"/>
      <c r="BF75" s="616"/>
    </row>
    <row r="76" spans="1:58">
      <c r="A76" s="710" t="s">
        <v>1235</v>
      </c>
      <c r="B76" s="752"/>
      <c r="C76" s="752"/>
      <c r="D76" s="752"/>
      <c r="E76" s="752"/>
      <c r="F76" s="752"/>
      <c r="G76" s="843"/>
      <c r="H76" s="752"/>
      <c r="I76" s="844">
        <v>37.07</v>
      </c>
      <c r="J76" s="616"/>
      <c r="K76" s="616"/>
      <c r="L76" s="616"/>
      <c r="M76" s="616"/>
      <c r="N76" s="616"/>
      <c r="O76" s="616"/>
      <c r="P76" s="616"/>
      <c r="Q76" s="616"/>
      <c r="R76" s="616"/>
      <c r="S76" s="616"/>
      <c r="T76" s="616"/>
      <c r="U76" s="616"/>
      <c r="V76" s="616"/>
      <c r="W76" s="616"/>
      <c r="X76" s="616"/>
      <c r="Y76" s="616"/>
      <c r="Z76" s="616"/>
      <c r="AA76" s="616"/>
      <c r="AB76" s="616"/>
      <c r="AC76" s="616"/>
      <c r="AD76" s="616"/>
      <c r="AE76" s="616"/>
      <c r="AF76" s="616"/>
      <c r="AG76" s="616"/>
      <c r="AH76" s="616"/>
      <c r="AI76" s="616"/>
      <c r="AJ76" s="616"/>
      <c r="AK76" s="616"/>
      <c r="AL76" s="616"/>
      <c r="AM76" s="616"/>
      <c r="AN76" s="616"/>
      <c r="AO76" s="616"/>
      <c r="AP76" s="616"/>
      <c r="AQ76" s="616"/>
      <c r="AR76" s="616"/>
      <c r="AS76" s="616"/>
      <c r="AT76" s="616"/>
      <c r="AU76" s="616"/>
      <c r="AV76" s="616"/>
      <c r="AW76" s="616"/>
      <c r="AX76" s="616"/>
      <c r="AY76" s="616"/>
      <c r="AZ76" s="616"/>
      <c r="BA76" s="616"/>
      <c r="BB76" s="616"/>
      <c r="BC76" s="616"/>
      <c r="BD76" s="616"/>
      <c r="BE76" s="616"/>
      <c r="BF76" s="616"/>
    </row>
    <row r="77" spans="1:58" ht="16" thickBot="1">
      <c r="A77" s="845" t="s">
        <v>1236</v>
      </c>
      <c r="B77" s="719"/>
      <c r="C77" s="719"/>
      <c r="D77" s="719"/>
      <c r="E77" s="719"/>
      <c r="F77" s="719"/>
      <c r="G77" s="846"/>
      <c r="H77" s="719"/>
      <c r="I77" s="847">
        <v>29.83</v>
      </c>
      <c r="J77" s="616"/>
      <c r="K77" s="616"/>
      <c r="L77" s="616"/>
      <c r="M77" s="616"/>
      <c r="N77" s="616"/>
      <c r="O77" s="616"/>
      <c r="P77" s="616"/>
      <c r="Q77" s="616"/>
      <c r="R77" s="616"/>
      <c r="S77" s="616"/>
      <c r="T77" s="616"/>
      <c r="U77" s="616"/>
      <c r="V77" s="616"/>
      <c r="W77" s="616"/>
      <c r="X77" s="616"/>
      <c r="Y77" s="616"/>
      <c r="Z77" s="616"/>
      <c r="AA77" s="616"/>
      <c r="AB77" s="616"/>
      <c r="AC77" s="616"/>
      <c r="AD77" s="616"/>
      <c r="AE77" s="616"/>
      <c r="AF77" s="616"/>
      <c r="AG77" s="616"/>
      <c r="AH77" s="616"/>
      <c r="AI77" s="616"/>
      <c r="AJ77" s="616"/>
      <c r="AK77" s="616"/>
      <c r="AL77" s="616"/>
      <c r="AM77" s="616"/>
      <c r="AN77" s="616"/>
      <c r="AO77" s="616"/>
      <c r="AP77" s="616"/>
      <c r="AQ77" s="616"/>
      <c r="AR77" s="616"/>
      <c r="AS77" s="616"/>
      <c r="AT77" s="616"/>
      <c r="AU77" s="616"/>
      <c r="AV77" s="616"/>
      <c r="AW77" s="616"/>
      <c r="AX77" s="616"/>
      <c r="AY77" s="616"/>
      <c r="AZ77" s="616"/>
      <c r="BA77" s="616"/>
      <c r="BB77" s="616"/>
      <c r="BC77" s="616"/>
      <c r="BD77" s="616"/>
      <c r="BE77" s="616"/>
      <c r="BF77" s="616"/>
    </row>
    <row r="78" spans="1:58">
      <c r="A78" s="616"/>
      <c r="B78" s="616"/>
      <c r="C78" s="616"/>
      <c r="D78" s="616"/>
      <c r="E78" s="616"/>
      <c r="F78" s="616"/>
      <c r="G78" s="616"/>
      <c r="H78" s="616"/>
      <c r="I78" s="616"/>
      <c r="J78" s="616"/>
      <c r="K78" s="616"/>
      <c r="L78" s="616"/>
      <c r="M78" s="616"/>
      <c r="N78" s="616"/>
      <c r="O78" s="616"/>
      <c r="P78" s="616"/>
      <c r="Q78" s="616"/>
      <c r="R78" s="616"/>
      <c r="S78" s="616"/>
      <c r="T78" s="616"/>
      <c r="U78" s="616"/>
      <c r="V78" s="616"/>
      <c r="W78" s="616"/>
      <c r="X78" s="616"/>
      <c r="Y78" s="616"/>
      <c r="Z78" s="616"/>
      <c r="AA78" s="616"/>
      <c r="AB78" s="616"/>
      <c r="AC78" s="616"/>
      <c r="AD78" s="616"/>
      <c r="AE78" s="616"/>
      <c r="AF78" s="616"/>
      <c r="AG78" s="616"/>
      <c r="AH78" s="616"/>
      <c r="AI78" s="616"/>
      <c r="AJ78" s="616"/>
      <c r="AK78" s="616"/>
      <c r="AL78" s="616"/>
      <c r="AM78" s="616"/>
      <c r="AN78" s="616"/>
      <c r="AO78" s="616"/>
      <c r="AP78" s="616"/>
      <c r="AQ78" s="616"/>
      <c r="AR78" s="616"/>
      <c r="AS78" s="616"/>
      <c r="AT78" s="616"/>
      <c r="AU78" s="616"/>
      <c r="AV78" s="616"/>
      <c r="AW78" s="616"/>
      <c r="AX78" s="616"/>
      <c r="AY78" s="616"/>
      <c r="AZ78" s="616"/>
      <c r="BA78" s="616"/>
      <c r="BB78" s="616"/>
      <c r="BC78" s="616"/>
      <c r="BD78" s="616"/>
      <c r="BE78" s="616"/>
      <c r="BF78" s="616"/>
    </row>
    <row r="79" spans="1:58">
      <c r="A79" s="616"/>
      <c r="B79" s="616"/>
      <c r="C79" s="616"/>
      <c r="D79" s="616"/>
      <c r="E79" s="616"/>
      <c r="F79" s="616"/>
      <c r="G79" s="616"/>
      <c r="H79" s="616"/>
      <c r="I79" s="616"/>
      <c r="J79" s="616"/>
      <c r="K79" s="616"/>
      <c r="L79" s="616"/>
      <c r="M79" s="616"/>
      <c r="N79" s="616"/>
      <c r="O79" s="616"/>
      <c r="P79" s="616"/>
      <c r="Q79" s="616"/>
      <c r="R79" s="616"/>
      <c r="S79" s="616"/>
      <c r="T79" s="616"/>
      <c r="U79" s="616"/>
      <c r="V79" s="616"/>
      <c r="W79" s="616"/>
      <c r="X79" s="616"/>
      <c r="Y79" s="616"/>
      <c r="Z79" s="616"/>
      <c r="AA79" s="616"/>
      <c r="AB79" s="616"/>
      <c r="AC79" s="616"/>
      <c r="AD79" s="616"/>
      <c r="AE79" s="616"/>
      <c r="AF79" s="616"/>
      <c r="AG79" s="616"/>
      <c r="AH79" s="616"/>
      <c r="AI79" s="616"/>
      <c r="AJ79" s="616"/>
      <c r="AK79" s="616"/>
      <c r="AL79" s="616"/>
      <c r="AM79" s="616"/>
      <c r="AN79" s="616"/>
      <c r="AO79" s="616"/>
      <c r="AP79" s="616"/>
      <c r="AQ79" s="616"/>
      <c r="AR79" s="616"/>
      <c r="AS79" s="616"/>
      <c r="AT79" s="616"/>
      <c r="AU79" s="616"/>
      <c r="AV79" s="616"/>
      <c r="AW79" s="616"/>
      <c r="AX79" s="616"/>
      <c r="AY79" s="616"/>
      <c r="AZ79" s="616"/>
      <c r="BA79" s="616"/>
      <c r="BB79" s="616"/>
      <c r="BC79" s="616"/>
      <c r="BD79" s="616"/>
      <c r="BE79" s="616"/>
      <c r="BF79" s="616"/>
    </row>
    <row r="80" spans="1:58">
      <c r="A80" s="616"/>
      <c r="B80" s="616"/>
      <c r="C80" s="616"/>
      <c r="D80" s="616"/>
      <c r="E80" s="616"/>
      <c r="F80" s="616"/>
      <c r="G80" s="616"/>
      <c r="H80" s="616"/>
      <c r="I80" s="616"/>
      <c r="J80" s="616"/>
      <c r="K80" s="616"/>
      <c r="L80" s="616"/>
      <c r="M80" s="616"/>
      <c r="N80" s="616"/>
      <c r="O80" s="616"/>
      <c r="P80" s="616"/>
      <c r="Q80" s="616"/>
      <c r="R80" s="616"/>
      <c r="S80" s="616"/>
      <c r="T80" s="616"/>
      <c r="U80" s="616"/>
      <c r="V80" s="616"/>
      <c r="W80" s="616"/>
      <c r="X80" s="616"/>
      <c r="Y80" s="616"/>
      <c r="Z80" s="616"/>
      <c r="AA80" s="616"/>
      <c r="AB80" s="616"/>
      <c r="AC80" s="616"/>
      <c r="AD80" s="616"/>
      <c r="AE80" s="616"/>
      <c r="AF80" s="616"/>
      <c r="AG80" s="616"/>
      <c r="AH80" s="616"/>
      <c r="AI80" s="616"/>
      <c r="AJ80" s="616"/>
      <c r="AK80" s="616"/>
      <c r="AL80" s="616"/>
      <c r="AM80" s="616"/>
      <c r="AN80" s="616"/>
      <c r="AO80" s="616"/>
      <c r="AP80" s="616"/>
      <c r="AQ80" s="616"/>
      <c r="AR80" s="616"/>
      <c r="AS80" s="616"/>
      <c r="AT80" s="616"/>
      <c r="AU80" s="616"/>
      <c r="AV80" s="616"/>
      <c r="AW80" s="616"/>
      <c r="AX80" s="616"/>
      <c r="AY80" s="616"/>
      <c r="AZ80" s="616"/>
      <c r="BA80" s="616"/>
      <c r="BB80" s="616"/>
      <c r="BC80" s="616"/>
      <c r="BD80" s="616"/>
      <c r="BE80" s="616"/>
      <c r="BF80" s="616"/>
    </row>
    <row r="81" spans="1:58">
      <c r="A81" s="616"/>
      <c r="B81" s="616"/>
      <c r="C81" s="616"/>
      <c r="D81" s="616"/>
      <c r="E81" s="893">
        <f>E24*195/229</f>
        <v>16675.48034934498</v>
      </c>
      <c r="F81" s="616"/>
      <c r="G81" s="616"/>
      <c r="H81" s="616"/>
      <c r="I81" s="616"/>
      <c r="J81" s="616"/>
      <c r="K81" s="616"/>
      <c r="L81" s="616"/>
      <c r="M81" s="616"/>
      <c r="N81" s="616"/>
      <c r="O81" s="616"/>
      <c r="P81" s="616"/>
      <c r="Q81" s="616"/>
      <c r="R81" s="616"/>
      <c r="S81" s="616"/>
      <c r="T81" s="616"/>
      <c r="U81" s="616"/>
      <c r="V81" s="616"/>
      <c r="W81" s="616"/>
      <c r="X81" s="616"/>
      <c r="Y81" s="616"/>
      <c r="Z81" s="616"/>
      <c r="AA81" s="616"/>
      <c r="AB81" s="616"/>
      <c r="AC81" s="616"/>
      <c r="AD81" s="616"/>
      <c r="AE81" s="616"/>
      <c r="AF81" s="616"/>
      <c r="AG81" s="616"/>
      <c r="AH81" s="616"/>
      <c r="AI81" s="616"/>
      <c r="AJ81" s="616"/>
      <c r="AK81" s="616"/>
      <c r="AL81" s="616"/>
      <c r="AM81" s="616"/>
      <c r="AN81" s="616"/>
      <c r="AO81" s="616"/>
      <c r="AP81" s="616"/>
      <c r="AQ81" s="616"/>
      <c r="AR81" s="616"/>
      <c r="AS81" s="616"/>
      <c r="AT81" s="616"/>
      <c r="AU81" s="616"/>
      <c r="AV81" s="616"/>
      <c r="AW81" s="616"/>
      <c r="AX81" s="616"/>
      <c r="AY81" s="616"/>
      <c r="AZ81" s="616"/>
      <c r="BA81" s="616"/>
      <c r="BB81" s="616"/>
      <c r="BC81" s="616"/>
      <c r="BD81" s="616"/>
      <c r="BE81" s="616"/>
      <c r="BF81" s="616"/>
    </row>
    <row r="82" spans="1:58">
      <c r="A82" s="616"/>
      <c r="B82" s="616"/>
      <c r="C82" s="616"/>
      <c r="D82" s="616"/>
      <c r="E82" s="616"/>
      <c r="F82" s="616"/>
      <c r="G82" s="616"/>
      <c r="H82" s="616"/>
      <c r="I82" s="616"/>
      <c r="J82" s="616"/>
      <c r="K82" s="616"/>
      <c r="L82" s="616"/>
      <c r="M82" s="616"/>
      <c r="N82" s="616"/>
      <c r="O82" s="616"/>
      <c r="P82" s="616"/>
      <c r="Q82" s="616"/>
      <c r="R82" s="616"/>
      <c r="S82" s="616"/>
      <c r="T82" s="616"/>
      <c r="U82" s="616"/>
      <c r="V82" s="616"/>
      <c r="W82" s="616"/>
      <c r="X82" s="616"/>
      <c r="Y82" s="616"/>
      <c r="Z82" s="616"/>
      <c r="AA82" s="616"/>
      <c r="AB82" s="616"/>
      <c r="AC82" s="616"/>
      <c r="AD82" s="616"/>
      <c r="AE82" s="616"/>
      <c r="AF82" s="616"/>
      <c r="AG82" s="616"/>
      <c r="AH82" s="616"/>
      <c r="AI82" s="616"/>
      <c r="AJ82" s="616"/>
      <c r="AK82" s="616"/>
      <c r="AL82" s="616"/>
      <c r="AM82" s="616"/>
      <c r="AN82" s="616"/>
      <c r="AO82" s="616"/>
      <c r="AP82" s="616"/>
      <c r="AQ82" s="616"/>
      <c r="AR82" s="616"/>
      <c r="AS82" s="616"/>
      <c r="AT82" s="616"/>
      <c r="AU82" s="616"/>
      <c r="AV82" s="616"/>
      <c r="AW82" s="616"/>
      <c r="AX82" s="616"/>
      <c r="AY82" s="616"/>
      <c r="AZ82" s="616"/>
      <c r="BA82" s="616"/>
      <c r="BB82" s="616"/>
      <c r="BC82" s="616"/>
      <c r="BD82" s="616"/>
      <c r="BE82" s="616"/>
      <c r="BF82" s="616"/>
    </row>
    <row r="83" spans="1:58">
      <c r="A83" s="616"/>
      <c r="B83" s="616"/>
      <c r="C83" s="616"/>
      <c r="D83" s="616"/>
      <c r="E83" s="616"/>
      <c r="F83" s="616"/>
      <c r="G83" s="616"/>
      <c r="H83" s="616"/>
      <c r="I83" s="616"/>
      <c r="J83" s="616"/>
      <c r="K83" s="616"/>
      <c r="L83" s="616"/>
      <c r="M83" s="616"/>
      <c r="N83" s="616"/>
      <c r="O83" s="616"/>
      <c r="P83" s="616"/>
      <c r="Q83" s="616"/>
      <c r="R83" s="616"/>
      <c r="S83" s="616"/>
      <c r="T83" s="616"/>
      <c r="U83" s="616"/>
      <c r="V83" s="616"/>
      <c r="W83" s="616"/>
      <c r="X83" s="616"/>
      <c r="Y83" s="616"/>
      <c r="Z83" s="616"/>
      <c r="AA83" s="616"/>
      <c r="AB83" s="616"/>
      <c r="AC83" s="616"/>
      <c r="AD83" s="616"/>
      <c r="AE83" s="616"/>
      <c r="AF83" s="616"/>
      <c r="AG83" s="616"/>
      <c r="AH83" s="616"/>
      <c r="AI83" s="616"/>
      <c r="AJ83" s="616"/>
      <c r="AK83" s="616"/>
      <c r="AL83" s="616"/>
      <c r="AM83" s="616"/>
      <c r="AN83" s="616"/>
      <c r="AO83" s="616"/>
      <c r="AP83" s="616"/>
      <c r="AQ83" s="616"/>
      <c r="AR83" s="616"/>
      <c r="AS83" s="616"/>
      <c r="AT83" s="616"/>
      <c r="AU83" s="616"/>
      <c r="AV83" s="616"/>
      <c r="AW83" s="616"/>
      <c r="AX83" s="616"/>
      <c r="AY83" s="616"/>
      <c r="AZ83" s="616"/>
      <c r="BA83" s="616"/>
      <c r="BB83" s="616"/>
      <c r="BC83" s="616"/>
      <c r="BD83" s="616"/>
      <c r="BE83" s="616"/>
      <c r="BF83" s="616"/>
    </row>
    <row r="84" spans="1:58">
      <c r="A84" s="616"/>
      <c r="B84" s="616"/>
      <c r="C84" s="616"/>
      <c r="D84" s="616"/>
      <c r="E84" s="616"/>
      <c r="F84" s="616"/>
      <c r="G84" s="616"/>
      <c r="H84" s="616"/>
      <c r="I84" s="616"/>
      <c r="J84" s="616"/>
      <c r="K84" s="616"/>
      <c r="L84" s="616"/>
      <c r="M84" s="616"/>
      <c r="N84" s="616"/>
      <c r="O84" s="616"/>
      <c r="P84" s="616"/>
      <c r="Q84" s="616"/>
      <c r="R84" s="616"/>
      <c r="S84" s="616"/>
      <c r="T84" s="616"/>
      <c r="U84" s="616"/>
      <c r="V84" s="616"/>
      <c r="W84" s="616"/>
      <c r="X84" s="616"/>
      <c r="Y84" s="616"/>
      <c r="Z84" s="616"/>
      <c r="AA84" s="616"/>
      <c r="AB84" s="616"/>
      <c r="AC84" s="616"/>
      <c r="AD84" s="616"/>
      <c r="AE84" s="616"/>
      <c r="AF84" s="616"/>
      <c r="AG84" s="616"/>
      <c r="AH84" s="616"/>
      <c r="AI84" s="616"/>
      <c r="AJ84" s="616"/>
      <c r="AK84" s="616"/>
      <c r="AL84" s="616"/>
      <c r="AM84" s="616"/>
      <c r="AN84" s="616"/>
      <c r="AO84" s="616"/>
      <c r="AP84" s="616"/>
      <c r="AQ84" s="616"/>
      <c r="AR84" s="616"/>
      <c r="AS84" s="616"/>
      <c r="AT84" s="616"/>
      <c r="AU84" s="616"/>
      <c r="AV84" s="616"/>
      <c r="AW84" s="616"/>
      <c r="AX84" s="616"/>
      <c r="AY84" s="616"/>
      <c r="AZ84" s="616"/>
      <c r="BA84" s="616"/>
      <c r="BB84" s="616"/>
      <c r="BC84" s="616"/>
      <c r="BD84" s="616"/>
      <c r="BE84" s="616"/>
      <c r="BF84" s="616"/>
    </row>
    <row r="85" spans="1:58">
      <c r="A85" s="616"/>
      <c r="B85" s="616"/>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6"/>
      <c r="AA85" s="616"/>
      <c r="AB85" s="616"/>
      <c r="AC85" s="616"/>
      <c r="AD85" s="616"/>
      <c r="AE85" s="616"/>
      <c r="AF85" s="616"/>
      <c r="AG85" s="616"/>
      <c r="AH85" s="616"/>
      <c r="AI85" s="616"/>
      <c r="AJ85" s="616"/>
      <c r="AK85" s="616"/>
      <c r="AL85" s="616"/>
      <c r="AM85" s="616"/>
      <c r="AN85" s="616"/>
      <c r="AO85" s="616"/>
      <c r="AP85" s="616"/>
      <c r="AQ85" s="616"/>
      <c r="AR85" s="616"/>
      <c r="AS85" s="616"/>
      <c r="AT85" s="616"/>
      <c r="AU85" s="616"/>
      <c r="AV85" s="616"/>
      <c r="AW85" s="616"/>
      <c r="AX85" s="616"/>
      <c r="AY85" s="616"/>
      <c r="AZ85" s="616"/>
      <c r="BA85" s="616"/>
      <c r="BB85" s="616"/>
      <c r="BC85" s="616"/>
      <c r="BD85" s="616"/>
      <c r="BE85" s="616"/>
      <c r="BF85" s="616"/>
    </row>
    <row r="86" spans="1:58">
      <c r="A86" s="616"/>
      <c r="B86" s="616"/>
      <c r="C86" s="616"/>
      <c r="D86" s="616"/>
      <c r="E86" s="616"/>
      <c r="F86" s="616"/>
      <c r="G86" s="616"/>
      <c r="H86" s="616"/>
      <c r="I86" s="616"/>
      <c r="J86" s="616"/>
      <c r="K86" s="616"/>
      <c r="L86" s="616"/>
      <c r="M86" s="616"/>
      <c r="N86" s="616"/>
      <c r="O86" s="616"/>
      <c r="P86" s="616"/>
      <c r="Q86" s="616"/>
      <c r="R86" s="616"/>
      <c r="S86" s="616"/>
      <c r="T86" s="616"/>
      <c r="U86" s="616"/>
      <c r="V86" s="616"/>
      <c r="W86" s="616"/>
      <c r="X86" s="616"/>
      <c r="Y86" s="616"/>
      <c r="Z86" s="616"/>
      <c r="AA86" s="616"/>
      <c r="AB86" s="616"/>
      <c r="AC86" s="616"/>
      <c r="AD86" s="616"/>
      <c r="AE86" s="616"/>
      <c r="AF86" s="616"/>
      <c r="AG86" s="616"/>
      <c r="AH86" s="616"/>
      <c r="AI86" s="616"/>
      <c r="AJ86" s="616"/>
      <c r="AK86" s="616"/>
      <c r="AL86" s="616"/>
      <c r="AM86" s="616"/>
      <c r="AN86" s="616"/>
      <c r="AO86" s="616"/>
      <c r="AP86" s="616"/>
      <c r="AQ86" s="616"/>
      <c r="AR86" s="616"/>
      <c r="AS86" s="616"/>
      <c r="AT86" s="616"/>
      <c r="AU86" s="616"/>
      <c r="AV86" s="616"/>
      <c r="AW86" s="616"/>
      <c r="AX86" s="616"/>
      <c r="AY86" s="616"/>
      <c r="AZ86" s="616"/>
      <c r="BA86" s="616"/>
      <c r="BB86" s="616"/>
      <c r="BC86" s="616"/>
      <c r="BD86" s="616"/>
      <c r="BE86" s="616"/>
      <c r="BF86" s="616"/>
    </row>
    <row r="87" spans="1:58">
      <c r="A87" s="616"/>
      <c r="B87" s="616"/>
      <c r="C87" s="616"/>
      <c r="D87" s="616"/>
      <c r="E87" s="616"/>
      <c r="F87" s="616"/>
      <c r="G87" s="616"/>
      <c r="H87" s="616"/>
      <c r="I87" s="616"/>
      <c r="J87" s="616"/>
      <c r="K87" s="616"/>
      <c r="L87" s="616"/>
      <c r="M87" s="616"/>
      <c r="N87" s="616"/>
      <c r="O87" s="616"/>
      <c r="P87" s="616"/>
      <c r="Q87" s="616"/>
      <c r="R87" s="616"/>
      <c r="S87" s="616"/>
      <c r="T87" s="616"/>
      <c r="U87" s="616"/>
      <c r="V87" s="616"/>
      <c r="W87" s="616"/>
      <c r="X87" s="616"/>
      <c r="Y87" s="616"/>
      <c r="Z87" s="616"/>
      <c r="AA87" s="616"/>
      <c r="AB87" s="616"/>
      <c r="AC87" s="616"/>
      <c r="AD87" s="616"/>
      <c r="AE87" s="616"/>
      <c r="AF87" s="616"/>
      <c r="AG87" s="616"/>
      <c r="AH87" s="616"/>
      <c r="AI87" s="616"/>
      <c r="AJ87" s="616"/>
      <c r="AK87" s="616"/>
      <c r="AL87" s="616"/>
      <c r="AM87" s="616"/>
      <c r="AN87" s="616"/>
      <c r="AO87" s="616"/>
      <c r="AP87" s="616"/>
      <c r="AQ87" s="616"/>
      <c r="AR87" s="616"/>
      <c r="AS87" s="616"/>
      <c r="AT87" s="616"/>
      <c r="AU87" s="616"/>
      <c r="AV87" s="616"/>
      <c r="AW87" s="616"/>
      <c r="AX87" s="616"/>
      <c r="AY87" s="616"/>
      <c r="AZ87" s="616"/>
      <c r="BA87" s="616"/>
      <c r="BB87" s="616"/>
      <c r="BC87" s="616"/>
      <c r="BD87" s="616"/>
      <c r="BE87" s="616"/>
      <c r="BF87" s="616"/>
    </row>
    <row r="88" spans="1:58">
      <c r="A88" s="616"/>
      <c r="B88" s="616"/>
      <c r="C88" s="616"/>
      <c r="D88" s="616"/>
      <c r="E88" s="616"/>
      <c r="F88" s="616"/>
      <c r="G88" s="616"/>
      <c r="H88" s="616"/>
      <c r="I88" s="616"/>
      <c r="J88" s="616"/>
      <c r="K88" s="616"/>
      <c r="L88" s="616"/>
      <c r="M88" s="616"/>
      <c r="N88" s="616"/>
      <c r="O88" s="616"/>
      <c r="P88" s="616"/>
      <c r="Q88" s="616"/>
      <c r="R88" s="616"/>
      <c r="S88" s="616"/>
      <c r="T88" s="616"/>
      <c r="U88" s="616"/>
      <c r="V88" s="616"/>
      <c r="W88" s="616"/>
      <c r="X88" s="616"/>
      <c r="Y88" s="616"/>
      <c r="Z88" s="616"/>
      <c r="AA88" s="616"/>
      <c r="AB88" s="616"/>
      <c r="AC88" s="616"/>
      <c r="AD88" s="616"/>
      <c r="AE88" s="616"/>
      <c r="AF88" s="616"/>
      <c r="AG88" s="616"/>
      <c r="AH88" s="616"/>
      <c r="AI88" s="616"/>
      <c r="AJ88" s="616"/>
      <c r="AK88" s="616"/>
      <c r="AL88" s="616"/>
      <c r="AM88" s="616"/>
      <c r="AN88" s="616"/>
      <c r="AO88" s="616"/>
      <c r="AP88" s="616"/>
      <c r="AQ88" s="616"/>
      <c r="AR88" s="616"/>
      <c r="AS88" s="616"/>
      <c r="AT88" s="616"/>
      <c r="AU88" s="616"/>
      <c r="AV88" s="616"/>
      <c r="AW88" s="616"/>
      <c r="AX88" s="616"/>
      <c r="AY88" s="616"/>
      <c r="AZ88" s="616"/>
      <c r="BA88" s="616"/>
      <c r="BB88" s="616"/>
      <c r="BC88" s="616"/>
      <c r="BD88" s="616"/>
      <c r="BE88" s="616"/>
      <c r="BF88" s="616"/>
    </row>
    <row r="89" spans="1:58">
      <c r="A89" s="616"/>
      <c r="B89" s="616"/>
      <c r="C89" s="616"/>
      <c r="D89" s="616"/>
      <c r="E89" s="616"/>
      <c r="F89" s="616"/>
      <c r="G89" s="616"/>
      <c r="H89" s="616"/>
      <c r="I89" s="616"/>
      <c r="J89" s="616"/>
      <c r="K89" s="616"/>
      <c r="L89" s="616"/>
      <c r="M89" s="616"/>
      <c r="N89" s="616"/>
      <c r="O89" s="616"/>
      <c r="P89" s="616"/>
      <c r="Q89" s="616"/>
      <c r="R89" s="616"/>
      <c r="S89" s="616"/>
      <c r="T89" s="616"/>
      <c r="U89" s="616"/>
      <c r="V89" s="616"/>
      <c r="W89" s="616"/>
      <c r="X89" s="616"/>
      <c r="Y89" s="616"/>
      <c r="Z89" s="616"/>
      <c r="AA89" s="616"/>
      <c r="AB89" s="616"/>
      <c r="AC89" s="616"/>
      <c r="AD89" s="616"/>
      <c r="AE89" s="616"/>
      <c r="AF89" s="616"/>
      <c r="AG89" s="616"/>
      <c r="AH89" s="616"/>
      <c r="AI89" s="616"/>
      <c r="AJ89" s="616"/>
      <c r="AK89" s="616"/>
      <c r="AL89" s="616"/>
      <c r="AM89" s="616"/>
      <c r="AN89" s="616"/>
      <c r="AO89" s="616"/>
      <c r="AP89" s="616"/>
      <c r="AQ89" s="616"/>
      <c r="AR89" s="616"/>
      <c r="AS89" s="616"/>
      <c r="AT89" s="616"/>
      <c r="AU89" s="616"/>
      <c r="AV89" s="616"/>
      <c r="AW89" s="616"/>
      <c r="AX89" s="616"/>
      <c r="AY89" s="616"/>
      <c r="AZ89" s="616"/>
      <c r="BA89" s="616"/>
      <c r="BB89" s="616"/>
      <c r="BC89" s="616"/>
      <c r="BD89" s="616"/>
      <c r="BE89" s="616"/>
      <c r="BF89" s="616"/>
    </row>
    <row r="90" spans="1:58">
      <c r="A90" s="616"/>
      <c r="B90" s="616"/>
      <c r="C90" s="616"/>
      <c r="D90" s="616"/>
      <c r="E90" s="616"/>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6"/>
      <c r="AF90" s="616"/>
      <c r="AG90" s="616"/>
      <c r="AH90" s="616"/>
      <c r="AI90" s="616"/>
      <c r="AJ90" s="616"/>
      <c r="AK90" s="616"/>
      <c r="AL90" s="616"/>
      <c r="AM90" s="616"/>
      <c r="AN90" s="616"/>
      <c r="AO90" s="616"/>
      <c r="AP90" s="616"/>
      <c r="AQ90" s="616"/>
      <c r="AR90" s="616"/>
      <c r="AS90" s="616"/>
      <c r="AT90" s="616"/>
      <c r="AU90" s="616"/>
      <c r="AV90" s="616"/>
      <c r="AW90" s="616"/>
      <c r="AX90" s="616"/>
      <c r="AY90" s="616"/>
      <c r="AZ90" s="616"/>
      <c r="BA90" s="616"/>
      <c r="BB90" s="616"/>
      <c r="BC90" s="616"/>
      <c r="BD90" s="616"/>
      <c r="BE90" s="616"/>
      <c r="BF90" s="616"/>
    </row>
    <row r="91" spans="1:58">
      <c r="A91" s="616"/>
      <c r="B91" s="616"/>
      <c r="C91" s="616"/>
      <c r="D91" s="616"/>
      <c r="E91" s="616"/>
      <c r="F91" s="616"/>
      <c r="G91" s="616"/>
      <c r="H91" s="616"/>
      <c r="I91" s="616"/>
      <c r="J91" s="616"/>
      <c r="K91" s="616"/>
      <c r="L91" s="616"/>
      <c r="M91" s="616"/>
      <c r="N91" s="616"/>
      <c r="O91" s="616"/>
      <c r="P91" s="616"/>
      <c r="Q91" s="616"/>
      <c r="R91" s="616"/>
      <c r="S91" s="616"/>
      <c r="T91" s="616"/>
      <c r="U91" s="616"/>
      <c r="V91" s="616"/>
      <c r="W91" s="616"/>
      <c r="X91" s="616"/>
      <c r="Y91" s="616"/>
      <c r="Z91" s="616"/>
      <c r="AA91" s="616"/>
      <c r="AB91" s="616"/>
      <c r="AC91" s="616"/>
      <c r="AD91" s="616"/>
      <c r="AE91" s="616"/>
      <c r="AF91" s="616"/>
      <c r="AG91" s="616"/>
      <c r="AH91" s="616"/>
      <c r="AI91" s="616"/>
      <c r="AJ91" s="616"/>
      <c r="AK91" s="616"/>
      <c r="AL91" s="616"/>
      <c r="AM91" s="616"/>
      <c r="AN91" s="616"/>
      <c r="AO91" s="616"/>
      <c r="AP91" s="616"/>
      <c r="AQ91" s="616"/>
      <c r="AR91" s="616"/>
      <c r="AS91" s="616"/>
      <c r="AT91" s="616"/>
      <c r="AU91" s="616"/>
      <c r="AV91" s="616"/>
      <c r="AW91" s="616"/>
      <c r="AX91" s="616"/>
      <c r="AY91" s="616"/>
      <c r="AZ91" s="616"/>
      <c r="BA91" s="616"/>
      <c r="BB91" s="616"/>
      <c r="BC91" s="616"/>
      <c r="BD91" s="616"/>
      <c r="BE91" s="616"/>
      <c r="BF91" s="616"/>
    </row>
    <row r="92" spans="1:58">
      <c r="A92" s="616"/>
      <c r="B92" s="848"/>
      <c r="C92" s="616"/>
      <c r="D92" s="616"/>
      <c r="E92" s="616"/>
      <c r="F92" s="616"/>
      <c r="G92" s="616"/>
      <c r="H92" s="616"/>
      <c r="I92" s="616"/>
      <c r="J92" s="616"/>
      <c r="K92" s="616"/>
      <c r="L92" s="616"/>
      <c r="M92" s="616"/>
      <c r="N92" s="616"/>
      <c r="O92" s="616"/>
      <c r="P92" s="616"/>
      <c r="Q92" s="616"/>
      <c r="R92" s="616"/>
      <c r="S92" s="616"/>
      <c r="T92" s="616"/>
      <c r="U92" s="616"/>
      <c r="V92" s="616"/>
      <c r="W92" s="616"/>
      <c r="X92" s="616"/>
      <c r="Y92" s="616"/>
      <c r="Z92" s="616"/>
      <c r="AA92" s="616"/>
      <c r="AB92" s="616"/>
      <c r="AC92" s="616"/>
      <c r="AD92" s="616"/>
      <c r="AE92" s="616"/>
      <c r="AF92" s="616"/>
      <c r="AG92" s="616"/>
      <c r="AH92" s="616"/>
      <c r="AI92" s="616"/>
      <c r="AJ92" s="616"/>
      <c r="AK92" s="616"/>
      <c r="AL92" s="616"/>
      <c r="AM92" s="616"/>
      <c r="AN92" s="616"/>
      <c r="AO92" s="616"/>
      <c r="AP92" s="616"/>
      <c r="AQ92" s="616"/>
      <c r="AR92" s="616"/>
      <c r="AS92" s="616"/>
      <c r="AT92" s="616"/>
      <c r="AU92" s="616"/>
      <c r="AV92" s="616"/>
      <c r="AW92" s="616"/>
      <c r="AX92" s="616"/>
      <c r="AY92" s="616"/>
      <c r="AZ92" s="616"/>
      <c r="BA92" s="616"/>
      <c r="BB92" s="616"/>
      <c r="BC92" s="616"/>
      <c r="BD92" s="616"/>
      <c r="BE92" s="616"/>
      <c r="BF92" s="616"/>
    </row>
    <row r="93" spans="1:58">
      <c r="A93" s="616"/>
      <c r="B93" s="616"/>
      <c r="C93" s="616"/>
      <c r="D93" s="616"/>
      <c r="E93" s="616"/>
      <c r="F93" s="616"/>
      <c r="G93" s="616"/>
      <c r="H93" s="616"/>
      <c r="I93" s="616"/>
      <c r="J93" s="616"/>
      <c r="K93" s="616"/>
      <c r="L93" s="616"/>
      <c r="M93" s="616"/>
      <c r="N93" s="616"/>
      <c r="O93" s="616"/>
      <c r="P93" s="616"/>
      <c r="Q93" s="616"/>
      <c r="R93" s="616"/>
      <c r="S93" s="616"/>
      <c r="T93" s="616"/>
      <c r="U93" s="616"/>
      <c r="V93" s="616"/>
      <c r="W93" s="616"/>
      <c r="X93" s="616"/>
      <c r="Y93" s="616"/>
      <c r="Z93" s="616"/>
      <c r="AA93" s="616"/>
      <c r="AB93" s="616"/>
      <c r="AC93" s="616"/>
      <c r="AD93" s="616"/>
      <c r="AE93" s="616"/>
      <c r="AF93" s="616"/>
      <c r="AG93" s="616"/>
      <c r="AH93" s="616"/>
      <c r="AI93" s="616"/>
      <c r="AJ93" s="616"/>
      <c r="AK93" s="616"/>
      <c r="AL93" s="616"/>
      <c r="AM93" s="616"/>
      <c r="AN93" s="616"/>
      <c r="AO93" s="616"/>
      <c r="AP93" s="616"/>
      <c r="AQ93" s="616"/>
      <c r="AR93" s="616"/>
      <c r="AS93" s="616"/>
      <c r="AT93" s="616"/>
      <c r="AU93" s="616"/>
      <c r="AV93" s="616"/>
      <c r="AW93" s="616"/>
      <c r="AX93" s="616"/>
      <c r="AY93" s="616"/>
      <c r="AZ93" s="616"/>
      <c r="BA93" s="616"/>
      <c r="BB93" s="616"/>
      <c r="BC93" s="616"/>
      <c r="BD93" s="616"/>
      <c r="BE93" s="616"/>
      <c r="BF93" s="616"/>
    </row>
    <row r="94" spans="1:58">
      <c r="A94" s="616"/>
      <c r="B94" s="616"/>
      <c r="C94" s="616"/>
      <c r="D94" s="616"/>
      <c r="E94" s="616"/>
      <c r="F94" s="616"/>
      <c r="G94" s="616"/>
      <c r="H94" s="616"/>
      <c r="I94" s="616"/>
      <c r="J94" s="616"/>
      <c r="K94" s="616"/>
      <c r="L94" s="616"/>
      <c r="M94" s="616"/>
      <c r="N94" s="616"/>
      <c r="O94" s="616"/>
      <c r="P94" s="616"/>
      <c r="Q94" s="616"/>
      <c r="R94" s="616"/>
      <c r="S94" s="616"/>
      <c r="T94" s="616"/>
      <c r="U94" s="616"/>
      <c r="V94" s="616"/>
      <c r="W94" s="616"/>
      <c r="X94" s="616"/>
      <c r="Y94" s="616"/>
      <c r="Z94" s="616"/>
      <c r="AA94" s="616"/>
      <c r="AB94" s="616"/>
      <c r="AC94" s="616"/>
      <c r="AD94" s="616"/>
      <c r="AE94" s="616"/>
      <c r="AF94" s="616"/>
      <c r="AG94" s="616"/>
      <c r="AH94" s="616"/>
      <c r="AI94" s="616"/>
      <c r="AJ94" s="616"/>
      <c r="AK94" s="616"/>
      <c r="AL94" s="616"/>
      <c r="AM94" s="616"/>
      <c r="AN94" s="616"/>
      <c r="AO94" s="616"/>
      <c r="AP94" s="616"/>
      <c r="AQ94" s="616"/>
      <c r="AR94" s="616"/>
      <c r="AS94" s="616"/>
      <c r="AT94" s="616"/>
      <c r="AU94" s="616"/>
      <c r="AV94" s="616"/>
      <c r="AW94" s="616"/>
      <c r="AX94" s="616"/>
      <c r="AY94" s="616"/>
      <c r="AZ94" s="616"/>
      <c r="BA94" s="616"/>
      <c r="BB94" s="616"/>
      <c r="BC94" s="616"/>
      <c r="BD94" s="616"/>
      <c r="BE94" s="616"/>
      <c r="BF94" s="616"/>
    </row>
    <row r="95" spans="1:58">
      <c r="A95" s="616"/>
      <c r="B95" s="616"/>
      <c r="C95" s="616"/>
      <c r="D95" s="616"/>
      <c r="E95" s="616"/>
      <c r="F95" s="616"/>
      <c r="G95" s="616"/>
      <c r="H95" s="616"/>
      <c r="I95" s="616"/>
      <c r="J95" s="616"/>
      <c r="K95" s="616"/>
      <c r="L95" s="616"/>
      <c r="M95" s="616"/>
      <c r="N95" s="616"/>
      <c r="O95" s="616"/>
      <c r="P95" s="616"/>
      <c r="Q95" s="616"/>
      <c r="R95" s="616"/>
      <c r="S95" s="616"/>
      <c r="T95" s="616"/>
      <c r="U95" s="616"/>
      <c r="V95" s="616"/>
      <c r="W95" s="616"/>
      <c r="X95" s="616"/>
      <c r="Y95" s="616"/>
      <c r="Z95" s="616"/>
      <c r="AA95" s="616"/>
      <c r="AB95" s="616"/>
      <c r="AC95" s="616"/>
      <c r="AD95" s="616"/>
      <c r="AE95" s="616"/>
      <c r="AF95" s="616"/>
      <c r="AG95" s="616"/>
      <c r="AH95" s="616"/>
      <c r="AI95" s="616"/>
      <c r="AJ95" s="616"/>
      <c r="AK95" s="616"/>
      <c r="AL95" s="616"/>
      <c r="AM95" s="616"/>
      <c r="AN95" s="616"/>
      <c r="AO95" s="616"/>
      <c r="AP95" s="616"/>
      <c r="AQ95" s="616"/>
      <c r="AR95" s="616"/>
      <c r="AS95" s="616"/>
      <c r="AT95" s="616"/>
      <c r="AU95" s="616"/>
      <c r="AV95" s="616"/>
      <c r="AW95" s="616"/>
      <c r="AX95" s="616"/>
      <c r="AY95" s="616"/>
      <c r="AZ95" s="616"/>
      <c r="BA95" s="616"/>
      <c r="BB95" s="616"/>
      <c r="BC95" s="616"/>
      <c r="BD95" s="616"/>
      <c r="BE95" s="616"/>
      <c r="BF95" s="616"/>
    </row>
    <row r="96" spans="1:58">
      <c r="A96" s="616"/>
      <c r="B96" s="616"/>
      <c r="C96" s="616"/>
      <c r="D96" s="616"/>
      <c r="E96" s="616"/>
      <c r="F96" s="616"/>
      <c r="G96" s="616"/>
      <c r="H96" s="616"/>
      <c r="I96" s="616"/>
      <c r="J96" s="616"/>
      <c r="K96" s="616"/>
      <c r="L96" s="616"/>
      <c r="M96" s="616"/>
      <c r="N96" s="616"/>
      <c r="O96" s="616"/>
      <c r="P96" s="616"/>
      <c r="Q96" s="616"/>
      <c r="R96" s="616"/>
      <c r="S96" s="616"/>
      <c r="T96" s="616"/>
      <c r="U96" s="616"/>
      <c r="V96" s="616"/>
      <c r="W96" s="616"/>
      <c r="X96" s="616"/>
      <c r="Y96" s="616"/>
      <c r="Z96" s="616"/>
      <c r="AA96" s="616"/>
      <c r="AB96" s="616"/>
      <c r="AC96" s="616"/>
      <c r="AD96" s="616"/>
      <c r="AE96" s="616"/>
      <c r="AF96" s="616"/>
      <c r="AG96" s="616"/>
      <c r="AH96" s="616"/>
      <c r="AI96" s="616"/>
      <c r="AJ96" s="616"/>
      <c r="AK96" s="616"/>
      <c r="AL96" s="616"/>
      <c r="AM96" s="616"/>
      <c r="AN96" s="616"/>
      <c r="AO96" s="616"/>
      <c r="AP96" s="616"/>
      <c r="AQ96" s="616"/>
      <c r="AR96" s="616"/>
      <c r="AS96" s="616"/>
      <c r="AT96" s="616"/>
      <c r="AU96" s="616"/>
      <c r="AV96" s="616"/>
      <c r="AW96" s="616"/>
      <c r="AX96" s="616"/>
      <c r="AY96" s="616"/>
      <c r="AZ96" s="616"/>
      <c r="BA96" s="616"/>
      <c r="BB96" s="616"/>
      <c r="BC96" s="616"/>
      <c r="BD96" s="616"/>
      <c r="BE96" s="616"/>
      <c r="BF96" s="616"/>
    </row>
    <row r="97" spans="1:58">
      <c r="A97" s="616"/>
      <c r="B97" s="616"/>
      <c r="C97" s="616"/>
      <c r="D97" s="616"/>
      <c r="E97" s="616"/>
      <c r="F97" s="616"/>
      <c r="G97" s="616"/>
      <c r="H97" s="616"/>
      <c r="I97" s="616"/>
      <c r="J97" s="616"/>
      <c r="K97" s="616"/>
      <c r="L97" s="616"/>
      <c r="M97" s="616"/>
      <c r="N97" s="616"/>
      <c r="O97" s="616"/>
      <c r="P97" s="616"/>
      <c r="Q97" s="616"/>
      <c r="R97" s="616"/>
      <c r="S97" s="616"/>
      <c r="T97" s="616"/>
      <c r="U97" s="616"/>
      <c r="V97" s="616"/>
      <c r="W97" s="616"/>
      <c r="X97" s="616"/>
      <c r="Y97" s="616"/>
      <c r="Z97" s="616"/>
      <c r="AA97" s="616"/>
      <c r="AB97" s="616"/>
      <c r="AC97" s="616"/>
      <c r="AD97" s="616"/>
      <c r="AE97" s="616"/>
      <c r="AF97" s="616"/>
      <c r="AG97" s="616"/>
      <c r="AH97" s="616"/>
      <c r="AI97" s="616"/>
      <c r="AJ97" s="616"/>
      <c r="AK97" s="616"/>
      <c r="AL97" s="616"/>
      <c r="AM97" s="616"/>
      <c r="AN97" s="616"/>
      <c r="AO97" s="616"/>
      <c r="AP97" s="616"/>
      <c r="AQ97" s="616"/>
      <c r="AR97" s="616"/>
      <c r="AS97" s="616"/>
      <c r="AT97" s="616"/>
      <c r="AU97" s="616"/>
      <c r="AV97" s="616"/>
      <c r="AW97" s="616"/>
      <c r="AX97" s="616"/>
      <c r="AY97" s="616"/>
      <c r="AZ97" s="616"/>
      <c r="BA97" s="616"/>
      <c r="BB97" s="616"/>
      <c r="BC97" s="616"/>
      <c r="BD97" s="616"/>
      <c r="BE97" s="616"/>
      <c r="BF97" s="616"/>
    </row>
    <row r="98" spans="1:58">
      <c r="A98" s="616"/>
      <c r="B98" s="616"/>
      <c r="C98" s="616"/>
      <c r="D98" s="616"/>
      <c r="E98" s="616"/>
      <c r="F98" s="616"/>
      <c r="G98" s="616"/>
      <c r="H98" s="616"/>
      <c r="I98" s="616"/>
      <c r="J98" s="616"/>
      <c r="K98" s="616"/>
      <c r="L98" s="616"/>
      <c r="M98" s="616"/>
      <c r="N98" s="616"/>
      <c r="O98" s="616"/>
      <c r="P98" s="616"/>
      <c r="Q98" s="616"/>
      <c r="R98" s="616"/>
      <c r="S98" s="616"/>
      <c r="T98" s="616"/>
      <c r="U98" s="616"/>
      <c r="V98" s="616"/>
      <c r="W98" s="616"/>
      <c r="X98" s="616"/>
      <c r="Y98" s="616"/>
      <c r="Z98" s="616"/>
      <c r="AA98" s="616"/>
      <c r="AB98" s="616"/>
      <c r="AC98" s="616"/>
      <c r="AD98" s="616"/>
      <c r="AE98" s="616"/>
      <c r="AF98" s="616"/>
      <c r="AG98" s="616"/>
      <c r="AH98" s="616"/>
      <c r="AI98" s="616"/>
      <c r="AJ98" s="616"/>
      <c r="AK98" s="616"/>
      <c r="AL98" s="616"/>
      <c r="AM98" s="616"/>
      <c r="AN98" s="616"/>
      <c r="AO98" s="616"/>
      <c r="AP98" s="616"/>
      <c r="AQ98" s="616"/>
      <c r="AR98" s="616"/>
      <c r="AS98" s="616"/>
      <c r="AT98" s="616"/>
      <c r="AU98" s="616"/>
      <c r="AV98" s="616"/>
      <c r="AW98" s="616"/>
      <c r="AX98" s="616"/>
      <c r="AY98" s="616"/>
      <c r="AZ98" s="616"/>
      <c r="BA98" s="616"/>
      <c r="BB98" s="616"/>
      <c r="BC98" s="616"/>
      <c r="BD98" s="616"/>
      <c r="BE98" s="616"/>
      <c r="BF98" s="616"/>
    </row>
    <row r="99" spans="1:58">
      <c r="A99" s="616"/>
      <c r="B99" s="616"/>
      <c r="C99" s="616"/>
      <c r="D99" s="616"/>
      <c r="E99" s="616"/>
      <c r="F99" s="616"/>
      <c r="G99" s="616"/>
      <c r="H99" s="616"/>
      <c r="I99" s="616"/>
      <c r="J99" s="616"/>
      <c r="K99" s="616"/>
      <c r="L99" s="616"/>
      <c r="M99" s="616"/>
      <c r="N99" s="616"/>
      <c r="O99" s="616"/>
      <c r="P99" s="616"/>
      <c r="Q99" s="616"/>
      <c r="R99" s="616"/>
      <c r="S99" s="616"/>
      <c r="T99" s="616"/>
      <c r="U99" s="616"/>
      <c r="V99" s="616"/>
      <c r="W99" s="616"/>
      <c r="X99" s="616"/>
      <c r="Y99" s="616"/>
      <c r="Z99" s="616"/>
      <c r="AA99" s="616"/>
      <c r="AB99" s="616"/>
      <c r="AC99" s="616"/>
      <c r="AD99" s="616"/>
      <c r="AE99" s="616"/>
      <c r="AF99" s="616"/>
      <c r="AG99" s="616"/>
      <c r="AH99" s="616"/>
      <c r="AI99" s="616"/>
      <c r="AJ99" s="616"/>
      <c r="AK99" s="616"/>
      <c r="AL99" s="616"/>
      <c r="AM99" s="616"/>
      <c r="AN99" s="616"/>
      <c r="AO99" s="616"/>
      <c r="AP99" s="616"/>
      <c r="AQ99" s="616"/>
      <c r="AR99" s="616"/>
      <c r="AS99" s="616"/>
      <c r="AT99" s="616"/>
      <c r="AU99" s="616"/>
      <c r="AV99" s="616"/>
      <c r="AW99" s="616"/>
      <c r="AX99" s="616"/>
      <c r="AY99" s="616"/>
      <c r="AZ99" s="616"/>
      <c r="BA99" s="616"/>
      <c r="BB99" s="616"/>
      <c r="BC99" s="616"/>
      <c r="BD99" s="616"/>
      <c r="BE99" s="616"/>
      <c r="BF99" s="616"/>
    </row>
    <row r="100" spans="1:58">
      <c r="A100" s="616"/>
      <c r="B100" s="616"/>
      <c r="C100" s="616"/>
      <c r="D100" s="616"/>
      <c r="E100" s="616"/>
      <c r="F100" s="616"/>
      <c r="G100" s="616"/>
      <c r="H100" s="616"/>
      <c r="I100" s="616"/>
      <c r="J100" s="616"/>
      <c r="K100" s="616"/>
      <c r="L100" s="616"/>
      <c r="M100" s="616"/>
      <c r="N100" s="616"/>
      <c r="O100" s="616"/>
      <c r="P100" s="616"/>
      <c r="Q100" s="616"/>
      <c r="R100" s="616"/>
      <c r="S100" s="616"/>
      <c r="T100" s="616"/>
      <c r="U100" s="616"/>
      <c r="V100" s="616"/>
      <c r="W100" s="616"/>
      <c r="X100" s="616"/>
      <c r="Y100" s="616"/>
      <c r="Z100" s="616"/>
      <c r="AA100" s="616"/>
      <c r="AB100" s="616"/>
      <c r="AC100" s="616"/>
      <c r="AD100" s="616"/>
      <c r="AE100" s="616"/>
      <c r="AF100" s="616"/>
      <c r="AG100" s="616"/>
      <c r="AH100" s="616"/>
      <c r="AI100" s="616"/>
      <c r="AJ100" s="616"/>
      <c r="AK100" s="616"/>
      <c r="AL100" s="616"/>
      <c r="AM100" s="616"/>
      <c r="AN100" s="616"/>
      <c r="AO100" s="616"/>
      <c r="AP100" s="616"/>
      <c r="AQ100" s="616"/>
      <c r="AR100" s="616"/>
      <c r="AS100" s="616"/>
      <c r="AT100" s="616"/>
      <c r="AU100" s="616"/>
      <c r="AV100" s="616"/>
      <c r="AW100" s="616"/>
      <c r="AX100" s="616"/>
      <c r="AY100" s="616"/>
      <c r="AZ100" s="616"/>
      <c r="BA100" s="616"/>
      <c r="BB100" s="616"/>
      <c r="BC100" s="616"/>
      <c r="BD100" s="616"/>
      <c r="BE100" s="616"/>
      <c r="BF100" s="616"/>
    </row>
    <row r="101" spans="1:58">
      <c r="A101" s="616"/>
      <c r="B101" s="616"/>
      <c r="C101" s="616"/>
      <c r="D101" s="616"/>
      <c r="E101" s="616"/>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6"/>
      <c r="AF101" s="616"/>
      <c r="AG101" s="616"/>
      <c r="AH101" s="616"/>
      <c r="AI101" s="616"/>
      <c r="AJ101" s="616"/>
      <c r="AK101" s="616"/>
      <c r="AL101" s="616"/>
      <c r="AM101" s="616"/>
      <c r="AN101" s="616"/>
      <c r="AO101" s="616"/>
      <c r="AP101" s="616"/>
      <c r="AQ101" s="616"/>
      <c r="AR101" s="616"/>
      <c r="AS101" s="616"/>
      <c r="AT101" s="616"/>
      <c r="AU101" s="616"/>
      <c r="AV101" s="616"/>
      <c r="AW101" s="616"/>
      <c r="AX101" s="616"/>
      <c r="AY101" s="616"/>
      <c r="AZ101" s="616"/>
      <c r="BA101" s="616"/>
      <c r="BB101" s="616"/>
      <c r="BC101" s="616"/>
      <c r="BD101" s="616"/>
      <c r="BE101" s="616"/>
      <c r="BF101" s="616"/>
    </row>
    <row r="102" spans="1:58">
      <c r="A102" s="616"/>
      <c r="B102" s="616"/>
      <c r="C102" s="616"/>
      <c r="D102" s="616"/>
      <c r="E102" s="616"/>
      <c r="F102" s="616"/>
      <c r="G102" s="616"/>
      <c r="H102" s="616"/>
      <c r="I102" s="616"/>
      <c r="J102" s="616"/>
      <c r="K102" s="616"/>
      <c r="L102" s="616"/>
      <c r="M102" s="616"/>
      <c r="N102" s="616"/>
      <c r="O102" s="616"/>
      <c r="P102" s="616"/>
      <c r="Q102" s="616"/>
      <c r="R102" s="616"/>
      <c r="S102" s="616"/>
      <c r="T102" s="616"/>
      <c r="U102" s="616"/>
      <c r="V102" s="616"/>
      <c r="W102" s="616"/>
      <c r="X102" s="616"/>
      <c r="Y102" s="616"/>
      <c r="Z102" s="616"/>
      <c r="AA102" s="616"/>
      <c r="AB102" s="616"/>
      <c r="AC102" s="616"/>
      <c r="AD102" s="616"/>
      <c r="AE102" s="616"/>
      <c r="AF102" s="616"/>
      <c r="AG102" s="616"/>
      <c r="AH102" s="616"/>
      <c r="AI102" s="616"/>
      <c r="AJ102" s="616"/>
      <c r="AK102" s="616"/>
      <c r="AL102" s="616"/>
      <c r="AM102" s="616"/>
      <c r="AN102" s="616"/>
      <c r="AO102" s="616"/>
      <c r="AP102" s="616"/>
      <c r="AQ102" s="616"/>
      <c r="AR102" s="616"/>
      <c r="AS102" s="616"/>
      <c r="AT102" s="616"/>
      <c r="AU102" s="616"/>
      <c r="AV102" s="616"/>
      <c r="AW102" s="616"/>
      <c r="AX102" s="616"/>
      <c r="AY102" s="616"/>
      <c r="AZ102" s="616"/>
      <c r="BA102" s="616"/>
      <c r="BB102" s="616"/>
      <c r="BC102" s="616"/>
      <c r="BD102" s="616"/>
      <c r="BE102" s="616"/>
      <c r="BF102" s="616"/>
    </row>
    <row r="103" spans="1:58">
      <c r="A103" s="616"/>
      <c r="B103" s="616"/>
      <c r="C103" s="616"/>
      <c r="D103" s="616"/>
      <c r="E103" s="616"/>
      <c r="F103" s="616"/>
      <c r="G103" s="616"/>
      <c r="H103" s="616"/>
      <c r="I103" s="616"/>
      <c r="J103" s="616"/>
      <c r="K103" s="616"/>
      <c r="L103" s="616"/>
      <c r="M103" s="616"/>
      <c r="N103" s="616"/>
      <c r="O103" s="616"/>
      <c r="P103" s="616"/>
      <c r="Q103" s="616"/>
      <c r="R103" s="616"/>
      <c r="S103" s="616"/>
      <c r="T103" s="616"/>
      <c r="U103" s="616"/>
      <c r="V103" s="616"/>
      <c r="W103" s="616"/>
      <c r="X103" s="616"/>
      <c r="Y103" s="616"/>
      <c r="Z103" s="616"/>
      <c r="AA103" s="616"/>
      <c r="AB103" s="616"/>
      <c r="AC103" s="616"/>
      <c r="AD103" s="616"/>
      <c r="AE103" s="616"/>
      <c r="AF103" s="616"/>
      <c r="AG103" s="616"/>
      <c r="AH103" s="616"/>
      <c r="AI103" s="616"/>
      <c r="AJ103" s="616"/>
      <c r="AK103" s="616"/>
      <c r="AL103" s="616"/>
      <c r="AM103" s="616"/>
      <c r="AN103" s="616"/>
      <c r="AO103" s="616"/>
      <c r="AP103" s="616"/>
      <c r="AQ103" s="616"/>
      <c r="AR103" s="616"/>
      <c r="AS103" s="616"/>
      <c r="AT103" s="616"/>
      <c r="AU103" s="616"/>
      <c r="AV103" s="616"/>
      <c r="AW103" s="616"/>
      <c r="AX103" s="616"/>
      <c r="AY103" s="616"/>
      <c r="AZ103" s="616"/>
      <c r="BA103" s="616"/>
      <c r="BB103" s="616"/>
      <c r="BC103" s="616"/>
      <c r="BD103" s="616"/>
      <c r="BE103" s="616"/>
      <c r="BF103" s="616"/>
    </row>
    <row r="104" spans="1:58">
      <c r="A104" s="616"/>
      <c r="B104" s="616"/>
      <c r="C104" s="616"/>
      <c r="D104" s="616"/>
      <c r="E104" s="616"/>
      <c r="F104" s="616"/>
      <c r="G104" s="616"/>
      <c r="H104" s="616"/>
      <c r="I104" s="616"/>
      <c r="J104" s="616"/>
      <c r="K104" s="616"/>
      <c r="L104" s="616"/>
      <c r="M104" s="616"/>
      <c r="N104" s="616"/>
      <c r="O104" s="616"/>
      <c r="P104" s="616"/>
      <c r="Q104" s="616"/>
      <c r="R104" s="616"/>
      <c r="S104" s="616"/>
      <c r="T104" s="616"/>
      <c r="U104" s="616"/>
      <c r="V104" s="616"/>
      <c r="W104" s="616"/>
      <c r="X104" s="616"/>
      <c r="Y104" s="616"/>
      <c r="Z104" s="616"/>
      <c r="AA104" s="616"/>
      <c r="AB104" s="616"/>
      <c r="AC104" s="616"/>
      <c r="AD104" s="616"/>
      <c r="AE104" s="616"/>
      <c r="AF104" s="616"/>
      <c r="AG104" s="616"/>
      <c r="AH104" s="616"/>
      <c r="AI104" s="616"/>
      <c r="AJ104" s="616"/>
      <c r="AK104" s="616"/>
      <c r="AL104" s="616"/>
      <c r="AM104" s="616"/>
      <c r="AN104" s="616"/>
      <c r="AO104" s="616"/>
      <c r="AP104" s="616"/>
      <c r="AQ104" s="616"/>
      <c r="AR104" s="616"/>
      <c r="AS104" s="616"/>
      <c r="AT104" s="616"/>
      <c r="AU104" s="616"/>
      <c r="AV104" s="616"/>
      <c r="AW104" s="616"/>
      <c r="AX104" s="616"/>
      <c r="AY104" s="616"/>
      <c r="AZ104" s="616"/>
      <c r="BA104" s="616"/>
      <c r="BB104" s="616"/>
      <c r="BC104" s="616"/>
      <c r="BD104" s="616"/>
      <c r="BE104" s="616"/>
      <c r="BF104" s="616"/>
    </row>
  </sheetData>
  <mergeCells count="6">
    <mergeCell ref="AB68:AD70"/>
    <mergeCell ref="B7:C7"/>
    <mergeCell ref="A14:B14"/>
    <mergeCell ref="A74:T74"/>
    <mergeCell ref="AA65:AA67"/>
    <mergeCell ref="AA68:AA70"/>
  </mergeCells>
  <pageMargins left="0.15748031496062992" right="0.15748031496062992" top="0.39370078740157483" bottom="0.59055118110236227" header="0.51181102362204722" footer="0.31496062992125984"/>
  <pageSetup paperSize="9" scale="69" orientation="portrait" horizontalDpi="1200"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G72"/>
  <sheetViews>
    <sheetView topLeftCell="A16" zoomScaleNormal="100" workbookViewId="0">
      <selection activeCell="F43" sqref="F43"/>
    </sheetView>
  </sheetViews>
  <sheetFormatPr defaultColWidth="7.58203125" defaultRowHeight="15.5"/>
  <cols>
    <col min="1" max="1" width="8.25" style="695" customWidth="1"/>
    <col min="2" max="2" width="4.25" style="695" customWidth="1"/>
    <col min="3" max="3" width="14.58203125" style="695" customWidth="1"/>
    <col min="4" max="4" width="7.25" style="695" customWidth="1"/>
    <col min="5" max="5" width="6.33203125" style="695" customWidth="1"/>
    <col min="6" max="6" width="9.08203125" style="695" customWidth="1"/>
    <col min="7" max="7" width="2.75" style="695" customWidth="1"/>
    <col min="8" max="8" width="7.58203125" style="695" bestFit="1" customWidth="1"/>
    <col min="9" max="9" width="2.75" style="695" customWidth="1"/>
    <col min="10" max="10" width="8.25" style="695" bestFit="1" customWidth="1"/>
    <col min="11" max="11" width="2.75" style="695" customWidth="1"/>
    <col min="12" max="12" width="8.58203125" style="695" bestFit="1" customWidth="1"/>
    <col min="13" max="13" width="2.75" style="695" customWidth="1"/>
    <col min="14" max="14" width="9.25" style="695" customWidth="1"/>
    <col min="15" max="17" width="2.75" style="695" customWidth="1"/>
    <col min="18" max="18" width="7.33203125" style="695" customWidth="1"/>
    <col min="19" max="19" width="2.75" style="695" customWidth="1"/>
    <col min="20" max="20" width="9.83203125" style="695" customWidth="1"/>
    <col min="21" max="21" width="2.75" style="695" customWidth="1"/>
    <col min="22" max="22" width="18.08203125" style="695" customWidth="1"/>
    <col min="23" max="25" width="8.58203125" style="695" customWidth="1"/>
    <col min="26" max="16384" width="7.58203125" style="695"/>
  </cols>
  <sheetData>
    <row r="1" spans="1:59" s="623" customFormat="1" ht="21.5" thickTop="1">
      <c r="A1" s="616"/>
      <c r="B1" s="617" t="s">
        <v>979</v>
      </c>
      <c r="C1" s="618"/>
      <c r="D1" s="618"/>
      <c r="E1" s="618"/>
      <c r="F1" s="618"/>
      <c r="G1" s="619"/>
      <c r="H1" s="618"/>
      <c r="I1" s="618"/>
      <c r="J1" s="618"/>
      <c r="K1" s="618"/>
      <c r="L1" s="618"/>
      <c r="M1" s="618"/>
      <c r="N1" s="618"/>
      <c r="O1" s="618"/>
      <c r="P1" s="618"/>
      <c r="Q1" s="618"/>
      <c r="R1" s="618"/>
      <c r="S1" s="618"/>
      <c r="T1" s="618"/>
      <c r="U1" s="620"/>
      <c r="V1" s="616"/>
      <c r="W1" s="621"/>
      <c r="X1" s="616"/>
      <c r="Y1" s="616"/>
      <c r="Z1" s="616"/>
      <c r="AA1" s="616"/>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c r="BG1" s="622"/>
    </row>
    <row r="2" spans="1:59" s="623" customFormat="1" ht="21.5" thickBot="1">
      <c r="A2" s="624" t="s">
        <v>980</v>
      </c>
      <c r="B2" s="625" t="s">
        <v>1211</v>
      </c>
      <c r="C2" s="626"/>
      <c r="D2" s="626"/>
      <c r="E2" s="626"/>
      <c r="F2" s="626"/>
      <c r="G2" s="627"/>
      <c r="H2" s="626"/>
      <c r="I2" s="626"/>
      <c r="J2" s="626"/>
      <c r="K2" s="626"/>
      <c r="L2" s="626"/>
      <c r="M2" s="626"/>
      <c r="N2" s="626"/>
      <c r="O2" s="626"/>
      <c r="P2" s="626"/>
      <c r="Q2" s="626"/>
      <c r="R2" s="626"/>
      <c r="S2" s="626"/>
      <c r="T2" s="626"/>
      <c r="U2" s="626"/>
      <c r="V2" s="628"/>
      <c r="W2" s="621"/>
      <c r="X2" s="616"/>
      <c r="Y2" s="616"/>
      <c r="Z2" s="616"/>
      <c r="AA2" s="616"/>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c r="BA2" s="622"/>
      <c r="BB2" s="622"/>
      <c r="BC2" s="622"/>
      <c r="BD2" s="622"/>
      <c r="BE2" s="622"/>
      <c r="BF2" s="622"/>
      <c r="BG2" s="622"/>
    </row>
    <row r="3" spans="1:59" s="623" customFormat="1" ht="21.75" customHeight="1">
      <c r="A3" s="624" t="s">
        <v>982</v>
      </c>
      <c r="B3" s="629" t="s">
        <v>983</v>
      </c>
      <c r="C3" s="630"/>
      <c r="D3" s="630"/>
      <c r="E3" s="630"/>
      <c r="F3" s="630"/>
      <c r="G3" s="631"/>
      <c r="H3" s="630"/>
      <c r="I3" s="630"/>
      <c r="J3" s="630"/>
      <c r="K3" s="630"/>
      <c r="L3" s="630"/>
      <c r="M3" s="630"/>
      <c r="N3" s="630"/>
      <c r="O3" s="630"/>
      <c r="P3" s="630"/>
      <c r="Q3" s="630"/>
      <c r="R3" s="630"/>
      <c r="S3" s="630"/>
      <c r="T3" s="630"/>
      <c r="U3" s="632"/>
      <c r="V3" s="616"/>
      <c r="W3" s="621"/>
      <c r="X3" s="616"/>
      <c r="Y3" s="616"/>
      <c r="Z3" s="616"/>
      <c r="AA3" s="616"/>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row>
    <row r="4" spans="1:59" s="623" customFormat="1" ht="21.75" customHeight="1">
      <c r="A4" s="624"/>
      <c r="B4" s="633"/>
      <c r="C4" s="634"/>
      <c r="D4" s="634"/>
      <c r="E4" s="634"/>
      <c r="F4" s="634"/>
      <c r="G4" s="635"/>
      <c r="H4" s="634"/>
      <c r="I4" s="634"/>
      <c r="J4" s="634"/>
      <c r="K4" s="634"/>
      <c r="L4" s="634"/>
      <c r="M4" s="634"/>
      <c r="N4" s="634"/>
      <c r="O4" s="634"/>
      <c r="P4" s="634"/>
      <c r="Q4" s="634"/>
      <c r="R4" s="634"/>
      <c r="S4" s="634"/>
      <c r="T4" s="634"/>
      <c r="U4" s="636"/>
      <c r="V4" s="616"/>
      <c r="W4" s="621"/>
      <c r="X4" s="616"/>
      <c r="Y4" s="616"/>
      <c r="Z4" s="616"/>
      <c r="AA4" s="616"/>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row>
    <row r="5" spans="1:59" s="623" customFormat="1" ht="21.75" customHeight="1">
      <c r="A5" s="624"/>
      <c r="B5" s="637" t="s">
        <v>1212</v>
      </c>
      <c r="C5" s="634"/>
      <c r="D5" s="634"/>
      <c r="E5" s="634"/>
      <c r="F5" s="634"/>
      <c r="G5" s="635"/>
      <c r="H5" s="634"/>
      <c r="I5" s="634"/>
      <c r="J5" s="634"/>
      <c r="K5" s="634"/>
      <c r="L5" s="634"/>
      <c r="M5" s="634"/>
      <c r="N5" s="634"/>
      <c r="O5" s="634"/>
      <c r="P5" s="634"/>
      <c r="Q5" s="634"/>
      <c r="R5" s="634"/>
      <c r="S5" s="634"/>
      <c r="T5" s="634"/>
      <c r="U5" s="636"/>
      <c r="V5" s="616" t="s">
        <v>985</v>
      </c>
      <c r="W5" s="621"/>
      <c r="X5" s="616"/>
      <c r="Y5" s="616"/>
      <c r="Z5" s="616"/>
      <c r="AA5" s="616"/>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row>
    <row r="6" spans="1:59" s="623" customFormat="1" ht="21.75" customHeight="1">
      <c r="A6" s="624"/>
      <c r="B6" s="637" t="s">
        <v>1213</v>
      </c>
      <c r="C6" s="638"/>
      <c r="D6" s="638"/>
      <c r="E6" s="638"/>
      <c r="F6" s="638"/>
      <c r="G6" s="638"/>
      <c r="H6" s="638"/>
      <c r="I6" s="638"/>
      <c r="J6" s="638"/>
      <c r="K6" s="638"/>
      <c r="L6" s="638"/>
      <c r="M6" s="638"/>
      <c r="N6" s="638"/>
      <c r="O6" s="638"/>
      <c r="P6" s="638"/>
      <c r="Q6" s="638"/>
      <c r="R6" s="638"/>
      <c r="S6" s="638"/>
      <c r="T6" s="638"/>
      <c r="U6" s="639"/>
      <c r="V6" s="616"/>
      <c r="W6" s="616"/>
      <c r="X6" s="616"/>
      <c r="Y6" s="616"/>
      <c r="Z6" s="616"/>
      <c r="AA6" s="616"/>
      <c r="AB6" s="622"/>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c r="BC6" s="622"/>
      <c r="BD6" s="622"/>
      <c r="BE6" s="622"/>
      <c r="BF6" s="622"/>
      <c r="BG6" s="622"/>
    </row>
    <row r="7" spans="1:59" s="623" customFormat="1" ht="21.75" customHeight="1">
      <c r="A7" s="624"/>
      <c r="B7" s="637" t="s">
        <v>1237</v>
      </c>
      <c r="C7" s="638"/>
      <c r="D7" s="638"/>
      <c r="E7" s="638"/>
      <c r="F7" s="638"/>
      <c r="G7" s="638"/>
      <c r="H7" s="638"/>
      <c r="I7" s="638"/>
      <c r="J7" s="638"/>
      <c r="K7" s="638"/>
      <c r="L7" s="638"/>
      <c r="M7" s="638"/>
      <c r="N7" s="638"/>
      <c r="O7" s="638"/>
      <c r="P7" s="638"/>
      <c r="Q7" s="638"/>
      <c r="R7" s="638"/>
      <c r="S7" s="638"/>
      <c r="T7" s="638"/>
      <c r="U7" s="639"/>
      <c r="V7" s="616"/>
      <c r="W7" s="640"/>
      <c r="X7" s="640"/>
      <c r="Y7" s="640"/>
      <c r="Z7" s="616"/>
      <c r="AA7" s="616"/>
      <c r="AB7" s="622"/>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c r="BC7" s="622"/>
      <c r="BD7" s="622"/>
      <c r="BE7" s="622"/>
      <c r="BF7" s="622"/>
      <c r="BG7" s="622"/>
    </row>
    <row r="8" spans="1:59" s="623" customFormat="1" ht="21.75" customHeight="1" thickBot="1">
      <c r="A8" s="624"/>
      <c r="B8" s="641" t="s">
        <v>988</v>
      </c>
      <c r="C8" s="642"/>
      <c r="D8" s="642"/>
      <c r="E8" s="642"/>
      <c r="F8" s="642"/>
      <c r="G8" s="642"/>
      <c r="H8" s="642"/>
      <c r="I8" s="642"/>
      <c r="J8" s="642"/>
      <c r="K8" s="642"/>
      <c r="L8" s="642"/>
      <c r="M8" s="642"/>
      <c r="N8" s="642"/>
      <c r="O8" s="642"/>
      <c r="P8" s="642"/>
      <c r="Q8" s="642"/>
      <c r="R8" s="642"/>
      <c r="S8" s="642"/>
      <c r="T8" s="642"/>
      <c r="U8" s="643"/>
      <c r="V8" s="616"/>
      <c r="W8" s="640"/>
      <c r="X8" s="640"/>
      <c r="Y8" s="640"/>
      <c r="Z8" s="616"/>
      <c r="AA8" s="616"/>
      <c r="AB8" s="622"/>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22"/>
      <c r="BF8" s="622"/>
      <c r="BG8" s="622"/>
    </row>
    <row r="9" spans="1:59" s="623" customFormat="1" ht="21.75" customHeight="1">
      <c r="A9" s="624" t="s">
        <v>989</v>
      </c>
      <c r="B9" s="644"/>
      <c r="C9" s="1174" t="s">
        <v>990</v>
      </c>
      <c r="D9" s="1174"/>
      <c r="E9" s="645"/>
      <c r="F9" s="646" t="s">
        <v>1214</v>
      </c>
      <c r="G9" s="645"/>
      <c r="H9" s="645"/>
      <c r="I9" s="645"/>
      <c r="J9" s="645"/>
      <c r="K9" s="645"/>
      <c r="L9" s="645"/>
      <c r="M9" s="645"/>
      <c r="N9" s="645"/>
      <c r="O9" s="647" t="s">
        <v>1215</v>
      </c>
      <c r="P9" s="648"/>
      <c r="Q9" s="648"/>
      <c r="R9" s="649"/>
      <c r="S9" s="649"/>
      <c r="T9" s="649"/>
      <c r="U9" s="650"/>
      <c r="V9" s="624" t="s">
        <v>993</v>
      </c>
      <c r="W9" s="651" t="s">
        <v>994</v>
      </c>
      <c r="X9" s="652">
        <v>1</v>
      </c>
      <c r="Y9" s="653">
        <v>2</v>
      </c>
      <c r="Z9" s="616"/>
      <c r="AA9" s="616"/>
      <c r="AB9" s="622"/>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2"/>
      <c r="BB9" s="622"/>
      <c r="BC9" s="622"/>
      <c r="BD9" s="622"/>
      <c r="BE9" s="622"/>
      <c r="BF9" s="622"/>
      <c r="BG9" s="622"/>
    </row>
    <row r="10" spans="1:59" s="661" customFormat="1">
      <c r="A10" s="654"/>
      <c r="B10" s="655"/>
      <c r="C10" s="656">
        <f>$W$10</f>
        <v>0</v>
      </c>
      <c r="D10" s="656">
        <f>W12</f>
        <v>8840</v>
      </c>
      <c r="E10" s="656"/>
      <c r="F10" s="657" t="s">
        <v>995</v>
      </c>
      <c r="G10" s="656"/>
      <c r="H10" s="656"/>
      <c r="I10" s="656"/>
      <c r="J10" s="656"/>
      <c r="K10" s="656"/>
      <c r="L10" s="656"/>
      <c r="M10" s="656"/>
      <c r="N10" s="656"/>
      <c r="O10" s="656"/>
      <c r="P10" s="656"/>
      <c r="Q10" s="656"/>
      <c r="R10" s="656"/>
      <c r="S10" s="656"/>
      <c r="T10" s="656"/>
      <c r="U10" s="658"/>
      <c r="V10" s="659"/>
      <c r="W10" s="655">
        <v>0</v>
      </c>
      <c r="X10" s="656">
        <v>0</v>
      </c>
      <c r="Y10" s="658">
        <v>0</v>
      </c>
      <c r="Z10" s="659"/>
      <c r="AA10" s="659"/>
      <c r="AB10" s="660"/>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c r="BC10" s="660"/>
      <c r="BD10" s="660"/>
      <c r="BE10" s="660"/>
      <c r="BF10" s="660"/>
      <c r="BG10" s="660"/>
    </row>
    <row r="11" spans="1:59" s="661" customFormat="1">
      <c r="A11" s="654"/>
      <c r="B11" s="655"/>
      <c r="C11" s="656">
        <f>W12</f>
        <v>8840</v>
      </c>
      <c r="D11" s="656" t="s">
        <v>996</v>
      </c>
      <c r="E11" s="656"/>
      <c r="F11" s="657" t="s">
        <v>997</v>
      </c>
      <c r="G11" s="656"/>
      <c r="H11" s="662">
        <f>$Y$12*100</f>
        <v>13.8</v>
      </c>
      <c r="I11" s="662" t="s">
        <v>998</v>
      </c>
      <c r="J11" s="656"/>
      <c r="K11" s="656"/>
      <c r="L11" s="662"/>
      <c r="M11" s="663"/>
      <c r="N11" s="656"/>
      <c r="O11" s="656"/>
      <c r="P11" s="656"/>
      <c r="Q11" s="656"/>
      <c r="R11" s="664"/>
      <c r="S11" s="656"/>
      <c r="T11" s="665"/>
      <c r="U11" s="666"/>
      <c r="V11" s="667" t="s">
        <v>999</v>
      </c>
      <c r="W11" s="655">
        <v>6240</v>
      </c>
      <c r="X11" s="668">
        <v>0</v>
      </c>
      <c r="Y11" s="669"/>
      <c r="Z11" s="659"/>
      <c r="AA11" s="659"/>
      <c r="AB11" s="660"/>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c r="BC11" s="660"/>
      <c r="BD11" s="660"/>
      <c r="BE11" s="660"/>
      <c r="BF11" s="660"/>
      <c r="BG11" s="660"/>
    </row>
    <row r="12" spans="1:59" s="661" customFormat="1" ht="16" thickBot="1">
      <c r="A12" s="654"/>
      <c r="B12" s="670"/>
      <c r="C12" s="671"/>
      <c r="D12" s="671"/>
      <c r="E12" s="671"/>
      <c r="F12" s="671"/>
      <c r="G12" s="672"/>
      <c r="H12" s="673"/>
      <c r="I12" s="672"/>
      <c r="J12" s="671"/>
      <c r="K12" s="674"/>
      <c r="L12" s="675"/>
      <c r="M12" s="674"/>
      <c r="N12" s="671"/>
      <c r="O12" s="671"/>
      <c r="P12" s="676"/>
      <c r="Q12" s="671"/>
      <c r="R12" s="677"/>
      <c r="S12" s="671"/>
      <c r="T12" s="671"/>
      <c r="U12" s="678"/>
      <c r="V12" s="667" t="s">
        <v>1000</v>
      </c>
      <c r="W12" s="655">
        <v>8840</v>
      </c>
      <c r="X12" s="668">
        <v>0</v>
      </c>
      <c r="Y12" s="669">
        <v>0.13800000000000001</v>
      </c>
      <c r="Z12" s="659"/>
      <c r="AA12" s="659"/>
      <c r="AB12" s="660"/>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c r="BC12" s="660"/>
      <c r="BD12" s="660"/>
      <c r="BE12" s="660"/>
      <c r="BF12" s="660"/>
      <c r="BG12" s="660"/>
    </row>
    <row r="13" spans="1:59" s="661" customFormat="1" ht="17" thickBot="1">
      <c r="A13" s="624"/>
      <c r="B13" s="679"/>
      <c r="C13" s="680"/>
      <c r="D13" s="680"/>
      <c r="E13" s="681"/>
      <c r="F13" s="680"/>
      <c r="G13" s="681"/>
      <c r="H13" s="680"/>
      <c r="I13" s="681"/>
      <c r="J13" s="680"/>
      <c r="K13" s="681"/>
      <c r="L13" s="680"/>
      <c r="M13" s="681"/>
      <c r="N13" s="681"/>
      <c r="O13" s="681"/>
      <c r="P13" s="681"/>
      <c r="Q13" s="681"/>
      <c r="R13" s="681"/>
      <c r="S13" s="681"/>
      <c r="T13" s="681"/>
      <c r="U13" s="681"/>
      <c r="V13" s="667" t="s">
        <v>1001</v>
      </c>
      <c r="W13" s="655">
        <v>50270</v>
      </c>
      <c r="X13" s="668">
        <v>0</v>
      </c>
      <c r="Y13" s="658"/>
      <c r="Z13" s="659"/>
      <c r="AA13" s="659"/>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row>
    <row r="14" spans="1:59" s="661" customFormat="1" ht="17.5" thickTop="1" thickBot="1">
      <c r="A14" s="682"/>
      <c r="B14" s="683"/>
      <c r="C14" s="683"/>
      <c r="D14" s="683"/>
      <c r="E14" s="683"/>
      <c r="F14" s="684"/>
      <c r="G14" s="683"/>
      <c r="H14" s="683"/>
      <c r="I14" s="683"/>
      <c r="J14" s="683"/>
      <c r="K14" s="683"/>
      <c r="L14" s="683"/>
      <c r="M14" s="683"/>
      <c r="N14" s="683"/>
      <c r="O14" s="683"/>
      <c r="P14" s="683"/>
      <c r="Q14" s="683"/>
      <c r="R14" s="683"/>
      <c r="S14" s="683"/>
      <c r="T14" s="683"/>
      <c r="U14" s="683"/>
      <c r="V14" s="659"/>
      <c r="W14" s="655"/>
      <c r="X14" s="668"/>
      <c r="Y14" s="669"/>
      <c r="Z14" s="659"/>
      <c r="AA14" s="659"/>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row>
    <row r="15" spans="1:59" s="661" customFormat="1" ht="18.75" customHeight="1" thickTop="1" thickBot="1">
      <c r="A15" s="624" t="s">
        <v>1002</v>
      </c>
      <c r="B15" s="1175" t="s">
        <v>1003</v>
      </c>
      <c r="C15" s="1176"/>
      <c r="D15" s="1176"/>
      <c r="E15" s="1176"/>
      <c r="F15" s="1176"/>
      <c r="G15" s="1176"/>
      <c r="H15" s="1176"/>
      <c r="I15" s="1176"/>
      <c r="J15" s="1176"/>
      <c r="K15" s="1176"/>
      <c r="L15" s="1176"/>
      <c r="M15" s="1177"/>
      <c r="N15" s="1178" t="s">
        <v>1004</v>
      </c>
      <c r="O15" s="1179"/>
      <c r="P15" s="1179"/>
      <c r="Q15" s="1179"/>
      <c r="R15" s="1179"/>
      <c r="S15" s="1179"/>
      <c r="T15" s="1179"/>
      <c r="U15" s="1179"/>
      <c r="V15" s="685"/>
      <c r="W15" s="686" t="s">
        <v>1005</v>
      </c>
      <c r="X15" s="687">
        <v>0.25900000000000001</v>
      </c>
      <c r="Y15" s="678"/>
      <c r="Z15" s="659"/>
      <c r="AA15" s="659"/>
      <c r="AB15" s="660"/>
      <c r="AC15" s="660"/>
      <c r="AD15" s="660"/>
      <c r="AE15" s="660"/>
      <c r="AF15" s="660"/>
      <c r="AG15" s="660"/>
      <c r="AH15" s="660"/>
      <c r="AI15" s="660"/>
      <c r="AJ15" s="660"/>
      <c r="AK15" s="660"/>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row>
    <row r="16" spans="1:59">
      <c r="A16" s="616"/>
      <c r="B16" s="688"/>
      <c r="C16" s="689" t="s">
        <v>1006</v>
      </c>
      <c r="D16" s="689" t="s">
        <v>1007</v>
      </c>
      <c r="E16" s="689"/>
      <c r="F16" s="690" t="s">
        <v>1008</v>
      </c>
      <c r="G16" s="689"/>
      <c r="H16" s="690" t="s">
        <v>1009</v>
      </c>
      <c r="I16" s="689"/>
      <c r="J16" s="690" t="s">
        <v>1005</v>
      </c>
      <c r="K16" s="689"/>
      <c r="L16" s="690" t="s">
        <v>1010</v>
      </c>
      <c r="M16" s="691"/>
      <c r="N16" s="692" t="s">
        <v>1008</v>
      </c>
      <c r="O16" s="689"/>
      <c r="P16" s="689"/>
      <c r="Q16" s="689"/>
      <c r="R16" s="690" t="s">
        <v>1009</v>
      </c>
      <c r="S16" s="689"/>
      <c r="T16" s="693" t="s">
        <v>1010</v>
      </c>
      <c r="U16" s="694"/>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6"/>
      <c r="BD16" s="616"/>
      <c r="BE16" s="616"/>
      <c r="BF16" s="616"/>
      <c r="BG16" s="616"/>
    </row>
    <row r="17" spans="1:59" ht="16" customHeight="1" thickBot="1">
      <c r="A17" s="616"/>
      <c r="B17" s="696"/>
      <c r="C17" s="697"/>
      <c r="D17" s="697"/>
      <c r="E17" s="697"/>
      <c r="F17" s="697"/>
      <c r="G17" s="697"/>
      <c r="H17" s="697"/>
      <c r="I17" s="697"/>
      <c r="J17" s="697"/>
      <c r="K17" s="697"/>
      <c r="L17" s="697"/>
      <c r="M17" s="697"/>
      <c r="N17" s="698"/>
      <c r="O17" s="697"/>
      <c r="P17" s="697"/>
      <c r="Q17" s="697"/>
      <c r="R17" s="697"/>
      <c r="S17" s="697"/>
      <c r="T17" s="697"/>
      <c r="U17" s="699"/>
      <c r="V17" s="616"/>
      <c r="W17" s="616"/>
      <c r="X17" s="700"/>
      <c r="Y17" s="616"/>
      <c r="Z17" s="616"/>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c r="BC17" s="616"/>
      <c r="BD17" s="616"/>
      <c r="BE17" s="616"/>
      <c r="BF17" s="616"/>
      <c r="BG17" s="616"/>
    </row>
    <row r="18" spans="1:59" ht="16" customHeight="1">
      <c r="A18" s="616"/>
      <c r="B18" s="701"/>
      <c r="C18" s="702" t="s">
        <v>1011</v>
      </c>
      <c r="D18" s="703"/>
      <c r="E18" s="704"/>
      <c r="F18" s="705"/>
      <c r="G18" s="705"/>
      <c r="H18" s="705"/>
      <c r="I18" s="705"/>
      <c r="J18" s="705"/>
      <c r="K18" s="705"/>
      <c r="L18" s="705"/>
      <c r="M18" s="705"/>
      <c r="N18" s="706"/>
      <c r="O18" s="705"/>
      <c r="P18" s="705"/>
      <c r="Q18" s="705"/>
      <c r="R18" s="705"/>
      <c r="S18" s="705"/>
      <c r="T18" s="705"/>
      <c r="U18" s="707"/>
      <c r="V18" s="616"/>
      <c r="W18" s="616"/>
      <c r="X18" s="700"/>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c r="BG18" s="616"/>
    </row>
    <row r="19" spans="1:59" ht="16" customHeight="1">
      <c r="A19" s="616"/>
      <c r="B19" s="701"/>
      <c r="C19" s="708" t="s">
        <v>1012</v>
      </c>
      <c r="D19" s="703"/>
      <c r="E19" s="704"/>
      <c r="F19" s="705"/>
      <c r="G19" s="705"/>
      <c r="H19" s="705"/>
      <c r="I19" s="705"/>
      <c r="J19" s="705"/>
      <c r="K19" s="705"/>
      <c r="L19" s="705"/>
      <c r="M19" s="705"/>
      <c r="N19" s="706"/>
      <c r="O19" s="705"/>
      <c r="P19" s="705"/>
      <c r="Q19" s="705"/>
      <c r="R19" s="705"/>
      <c r="S19" s="705"/>
      <c r="T19" s="705"/>
      <c r="U19" s="707"/>
      <c r="V19" s="616"/>
      <c r="W19" s="709" t="s">
        <v>1013</v>
      </c>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c r="BG19" s="616"/>
    </row>
    <row r="20" spans="1:59" ht="16" customHeight="1">
      <c r="A20" s="616"/>
      <c r="B20" s="710"/>
      <c r="C20" s="708" t="s">
        <v>1014</v>
      </c>
      <c r="D20" s="708">
        <v>6</v>
      </c>
      <c r="E20" s="704"/>
      <c r="F20" s="705">
        <v>16018.951965065502</v>
      </c>
      <c r="G20" s="705"/>
      <c r="H20" s="705">
        <f t="shared" ref="H20:H39" si="0">IF($F20&gt;$W$12,($F20-$W$12)*$Y$12,"ERROR")</f>
        <v>990.6953711790394</v>
      </c>
      <c r="I20" s="705"/>
      <c r="J20" s="705">
        <f t="shared" ref="J20:J39" si="1">$F20*$X$15</f>
        <v>4148.9085589519655</v>
      </c>
      <c r="K20" s="705"/>
      <c r="L20" s="705">
        <f t="shared" ref="L20:L39" si="2">F20+ROUND(H20,0)+ROUND(J20,0)</f>
        <v>21158.951965065502</v>
      </c>
      <c r="M20" s="705"/>
      <c r="N20" s="706">
        <f t="shared" ref="N20:N39" si="3">F20</f>
        <v>16018.951965065502</v>
      </c>
      <c r="O20" s="705"/>
      <c r="P20" s="705"/>
      <c r="Q20" s="705"/>
      <c r="R20" s="705">
        <f t="shared" ref="R20:R39" si="4">IF($N20&gt;$W$12,($N20-$W$12)*$Y$12,"ERROR")</f>
        <v>990.6953711790394</v>
      </c>
      <c r="S20" s="705"/>
      <c r="T20" s="705">
        <f t="shared" ref="T20:T39" si="5">SUM(N20:R20)</f>
        <v>17009.647336244543</v>
      </c>
      <c r="U20" s="707"/>
      <c r="V20" s="711"/>
      <c r="W20" s="709" t="s">
        <v>1015</v>
      </c>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c r="BG20" s="616"/>
    </row>
    <row r="21" spans="1:59" ht="16" customHeight="1">
      <c r="A21" s="616"/>
      <c r="B21" s="710"/>
      <c r="C21" s="708" t="s">
        <v>1011</v>
      </c>
      <c r="D21" s="708">
        <v>7</v>
      </c>
      <c r="E21" s="704"/>
      <c r="F21" s="705">
        <v>16328.908296943231</v>
      </c>
      <c r="G21" s="705"/>
      <c r="H21" s="705">
        <f t="shared" si="0"/>
        <v>1033.469344978166</v>
      </c>
      <c r="I21" s="705"/>
      <c r="J21" s="705">
        <f t="shared" si="1"/>
        <v>4229.1872489082971</v>
      </c>
      <c r="K21" s="705"/>
      <c r="L21" s="705">
        <f t="shared" si="2"/>
        <v>21590.908296943231</v>
      </c>
      <c r="M21" s="705"/>
      <c r="N21" s="706">
        <f t="shared" si="3"/>
        <v>16328.908296943231</v>
      </c>
      <c r="O21" s="705"/>
      <c r="P21" s="705"/>
      <c r="Q21" s="705"/>
      <c r="R21" s="705">
        <f t="shared" si="4"/>
        <v>1033.469344978166</v>
      </c>
      <c r="S21" s="705"/>
      <c r="T21" s="705">
        <f t="shared" si="5"/>
        <v>17362.377641921397</v>
      </c>
      <c r="U21" s="707"/>
      <c r="V21" s="711"/>
      <c r="W21" s="709"/>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c r="BC21" s="616"/>
      <c r="BD21" s="616"/>
      <c r="BE21" s="616"/>
      <c r="BF21" s="616"/>
      <c r="BG21" s="616"/>
    </row>
    <row r="22" spans="1:59" ht="16" customHeight="1">
      <c r="A22" s="616"/>
      <c r="B22" s="710"/>
      <c r="C22" s="708" t="s">
        <v>1011</v>
      </c>
      <c r="D22" s="708">
        <v>8</v>
      </c>
      <c r="E22" s="704"/>
      <c r="F22" s="705">
        <f>16675.480349345</f>
        <v>16675.480349345002</v>
      </c>
      <c r="G22" s="705"/>
      <c r="H22" s="705">
        <f t="shared" si="0"/>
        <v>1081.2962882096103</v>
      </c>
      <c r="I22" s="705"/>
      <c r="J22" s="705">
        <f t="shared" si="1"/>
        <v>4318.9494104803553</v>
      </c>
      <c r="K22" s="705"/>
      <c r="L22" s="705">
        <f t="shared" si="2"/>
        <v>22075.480349345002</v>
      </c>
      <c r="M22" s="705"/>
      <c r="N22" s="706">
        <f t="shared" si="3"/>
        <v>16675.480349345002</v>
      </c>
      <c r="O22" s="705"/>
      <c r="P22" s="705"/>
      <c r="Q22" s="705"/>
      <c r="R22" s="705">
        <f t="shared" si="4"/>
        <v>1081.2962882096103</v>
      </c>
      <c r="S22" s="705"/>
      <c r="T22" s="705">
        <f t="shared" si="5"/>
        <v>17756.776637554613</v>
      </c>
      <c r="U22" s="707"/>
      <c r="V22" s="711" t="s">
        <v>1238</v>
      </c>
      <c r="W22" s="709" t="s">
        <v>1016</v>
      </c>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c r="BC22" s="616"/>
      <c r="BD22" s="616"/>
      <c r="BE22" s="616"/>
      <c r="BF22" s="616"/>
      <c r="BG22" s="616"/>
    </row>
    <row r="23" spans="1:59" ht="16" customHeight="1">
      <c r="A23" s="616"/>
      <c r="B23" s="710"/>
      <c r="C23" s="712" t="s">
        <v>1011</v>
      </c>
      <c r="D23" s="712">
        <v>9</v>
      </c>
      <c r="E23" s="713"/>
      <c r="F23" s="714">
        <v>16986.288209606988</v>
      </c>
      <c r="G23" s="714"/>
      <c r="H23" s="714">
        <f t="shared" si="0"/>
        <v>1124.1877729257644</v>
      </c>
      <c r="I23" s="714"/>
      <c r="J23" s="714">
        <f t="shared" si="1"/>
        <v>4399.4486462882096</v>
      </c>
      <c r="K23" s="714"/>
      <c r="L23" s="714">
        <f t="shared" si="2"/>
        <v>22509.288209606988</v>
      </c>
      <c r="M23" s="714"/>
      <c r="N23" s="715">
        <f t="shared" si="3"/>
        <v>16986.288209606988</v>
      </c>
      <c r="O23" s="714"/>
      <c r="P23" s="714"/>
      <c r="Q23" s="714"/>
      <c r="R23" s="714">
        <f t="shared" si="4"/>
        <v>1124.1877729257644</v>
      </c>
      <c r="S23" s="714"/>
      <c r="T23" s="714">
        <f t="shared" si="5"/>
        <v>18110.475982532753</v>
      </c>
      <c r="U23" s="707"/>
      <c r="V23" s="616"/>
      <c r="W23" s="709" t="s">
        <v>1017</v>
      </c>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c r="BC23" s="616"/>
      <c r="BD23" s="616"/>
      <c r="BE23" s="616"/>
      <c r="BF23" s="616"/>
      <c r="BG23" s="616"/>
    </row>
    <row r="24" spans="1:59" ht="16" customHeight="1">
      <c r="A24" s="616"/>
      <c r="B24" s="710"/>
      <c r="C24" s="708" t="s">
        <v>1018</v>
      </c>
      <c r="D24" s="708">
        <v>12</v>
      </c>
      <c r="E24" s="704"/>
      <c r="F24" s="705">
        <v>18012.379912663757</v>
      </c>
      <c r="G24" s="705"/>
      <c r="H24" s="705">
        <f t="shared" si="0"/>
        <v>1265.7884279475986</v>
      </c>
      <c r="I24" s="705"/>
      <c r="J24" s="705">
        <f t="shared" si="1"/>
        <v>4665.2063973799131</v>
      </c>
      <c r="K24" s="705"/>
      <c r="L24" s="705">
        <f t="shared" si="2"/>
        <v>23943.379912663757</v>
      </c>
      <c r="M24" s="705"/>
      <c r="N24" s="706">
        <f t="shared" si="3"/>
        <v>18012.379912663757</v>
      </c>
      <c r="O24" s="705"/>
      <c r="P24" s="705"/>
      <c r="Q24" s="705"/>
      <c r="R24" s="705">
        <f t="shared" si="4"/>
        <v>1265.7884279475986</v>
      </c>
      <c r="S24" s="705"/>
      <c r="T24" s="705">
        <f t="shared" si="5"/>
        <v>19278.168340611355</v>
      </c>
      <c r="U24" s="707"/>
      <c r="V24" s="711"/>
      <c r="W24" s="709"/>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6"/>
      <c r="BD24" s="616"/>
      <c r="BE24" s="616"/>
      <c r="BF24" s="616"/>
      <c r="BG24" s="616"/>
    </row>
    <row r="25" spans="1:59" ht="16" customHeight="1">
      <c r="A25" s="616"/>
      <c r="B25" s="710"/>
      <c r="C25" s="708" t="s">
        <v>1019</v>
      </c>
      <c r="D25" s="708">
        <v>13</v>
      </c>
      <c r="E25" s="704"/>
      <c r="F25" s="705">
        <v>18717.445414847163</v>
      </c>
      <c r="G25" s="705"/>
      <c r="H25" s="705">
        <f t="shared" si="0"/>
        <v>1363.0874672489085</v>
      </c>
      <c r="I25" s="705"/>
      <c r="J25" s="705">
        <f t="shared" si="1"/>
        <v>4847.818362445415</v>
      </c>
      <c r="K25" s="705"/>
      <c r="L25" s="705">
        <f t="shared" si="2"/>
        <v>24928.445414847163</v>
      </c>
      <c r="M25" s="705"/>
      <c r="N25" s="706">
        <f t="shared" si="3"/>
        <v>18717.445414847163</v>
      </c>
      <c r="O25" s="705"/>
      <c r="P25" s="705"/>
      <c r="Q25" s="705"/>
      <c r="R25" s="705">
        <f t="shared" si="4"/>
        <v>1363.0874672489085</v>
      </c>
      <c r="S25" s="705"/>
      <c r="T25" s="705">
        <f t="shared" si="5"/>
        <v>20080.532882096071</v>
      </c>
      <c r="U25" s="707"/>
      <c r="V25" s="711"/>
      <c r="W25" s="709" t="s">
        <v>1020</v>
      </c>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c r="BC25" s="616"/>
      <c r="BD25" s="616"/>
      <c r="BE25" s="616"/>
      <c r="BF25" s="616"/>
      <c r="BG25" s="616"/>
    </row>
    <row r="26" spans="1:59" ht="16" customHeight="1">
      <c r="A26" s="616"/>
      <c r="B26" s="710"/>
      <c r="C26" s="708" t="s">
        <v>1011</v>
      </c>
      <c r="D26" s="708">
        <v>14</v>
      </c>
      <c r="E26" s="704"/>
      <c r="F26" s="705">
        <v>19489.781659388645</v>
      </c>
      <c r="G26" s="705"/>
      <c r="H26" s="705">
        <f t="shared" si="0"/>
        <v>1469.6698689956331</v>
      </c>
      <c r="I26" s="705"/>
      <c r="J26" s="705">
        <f t="shared" si="1"/>
        <v>5047.853449781659</v>
      </c>
      <c r="K26" s="705"/>
      <c r="L26" s="705">
        <f t="shared" si="2"/>
        <v>26007.781659388645</v>
      </c>
      <c r="M26" s="716"/>
      <c r="N26" s="705">
        <f t="shared" si="3"/>
        <v>19489.781659388645</v>
      </c>
      <c r="O26" s="705"/>
      <c r="P26" s="705"/>
      <c r="Q26" s="705"/>
      <c r="R26" s="705">
        <f t="shared" si="4"/>
        <v>1469.6698689956331</v>
      </c>
      <c r="S26" s="705"/>
      <c r="T26" s="705">
        <f t="shared" si="5"/>
        <v>20959.451528384277</v>
      </c>
      <c r="U26" s="707"/>
      <c r="V26" s="711"/>
      <c r="W26" s="709" t="s">
        <v>1190</v>
      </c>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c r="BC26" s="616"/>
      <c r="BD26" s="616"/>
      <c r="BE26" s="616"/>
      <c r="BF26" s="616"/>
      <c r="BG26" s="616"/>
    </row>
    <row r="27" spans="1:59" ht="16" customHeight="1">
      <c r="A27" s="616"/>
      <c r="B27" s="710"/>
      <c r="C27" s="712" t="s">
        <v>1011</v>
      </c>
      <c r="D27" s="712">
        <v>15</v>
      </c>
      <c r="E27" s="713"/>
      <c r="F27" s="714">
        <v>20258.711790393012</v>
      </c>
      <c r="G27" s="714"/>
      <c r="H27" s="714">
        <f t="shared" si="0"/>
        <v>1575.7822270742358</v>
      </c>
      <c r="I27" s="714"/>
      <c r="J27" s="714">
        <f t="shared" si="1"/>
        <v>5247.0063537117903</v>
      </c>
      <c r="K27" s="714"/>
      <c r="L27" s="714">
        <f t="shared" si="2"/>
        <v>27081.711790393012</v>
      </c>
      <c r="M27" s="714"/>
      <c r="N27" s="715">
        <f t="shared" si="3"/>
        <v>20258.711790393012</v>
      </c>
      <c r="O27" s="714"/>
      <c r="P27" s="714"/>
      <c r="Q27" s="714"/>
      <c r="R27" s="714">
        <f t="shared" si="4"/>
        <v>1575.7822270742358</v>
      </c>
      <c r="S27" s="714"/>
      <c r="T27" s="714">
        <f t="shared" si="5"/>
        <v>21834.494017467248</v>
      </c>
      <c r="U27" s="707"/>
      <c r="V27" s="711"/>
      <c r="W27" s="709"/>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c r="BC27" s="616"/>
      <c r="BD27" s="616"/>
      <c r="BE27" s="616"/>
      <c r="BF27" s="616"/>
      <c r="BG27" s="616"/>
    </row>
    <row r="28" spans="1:59" ht="16" customHeight="1">
      <c r="A28" s="616"/>
      <c r="B28" s="710"/>
      <c r="C28" s="708" t="s">
        <v>1022</v>
      </c>
      <c r="D28" s="708">
        <v>15</v>
      </c>
      <c r="E28" s="704"/>
      <c r="F28" s="705">
        <v>20258.711790393012</v>
      </c>
      <c r="G28" s="705"/>
      <c r="H28" s="705">
        <f t="shared" si="0"/>
        <v>1575.7822270742358</v>
      </c>
      <c r="I28" s="705"/>
      <c r="J28" s="705">
        <f t="shared" si="1"/>
        <v>5247.0063537117903</v>
      </c>
      <c r="K28" s="705"/>
      <c r="L28" s="705">
        <f t="shared" si="2"/>
        <v>27081.711790393012</v>
      </c>
      <c r="M28" s="705"/>
      <c r="N28" s="706">
        <f t="shared" si="3"/>
        <v>20258.711790393012</v>
      </c>
      <c r="O28" s="705"/>
      <c r="P28" s="705"/>
      <c r="Q28" s="705"/>
      <c r="R28" s="705">
        <f t="shared" si="4"/>
        <v>1575.7822270742358</v>
      </c>
      <c r="S28" s="705"/>
      <c r="T28" s="705">
        <f t="shared" si="5"/>
        <v>21834.494017467248</v>
      </c>
      <c r="U28" s="707"/>
      <c r="V28" s="711"/>
      <c r="W28" s="709" t="s">
        <v>1023</v>
      </c>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c r="BG28" s="616"/>
    </row>
    <row r="29" spans="1:59" ht="16" customHeight="1">
      <c r="A29" s="616"/>
      <c r="B29" s="710"/>
      <c r="C29" s="708" t="s">
        <v>1024</v>
      </c>
      <c r="D29" s="708">
        <v>16</v>
      </c>
      <c r="E29" s="704"/>
      <c r="F29" s="705">
        <v>20720.24017467249</v>
      </c>
      <c r="G29" s="705"/>
      <c r="H29" s="705">
        <f t="shared" si="0"/>
        <v>1639.4731441048039</v>
      </c>
      <c r="I29" s="705"/>
      <c r="J29" s="705">
        <f t="shared" si="1"/>
        <v>5366.5422052401755</v>
      </c>
      <c r="K29" s="705"/>
      <c r="L29" s="705">
        <f t="shared" si="2"/>
        <v>27726.24017467249</v>
      </c>
      <c r="M29" s="705"/>
      <c r="N29" s="706">
        <f t="shared" si="3"/>
        <v>20720.24017467249</v>
      </c>
      <c r="O29" s="705"/>
      <c r="P29" s="705"/>
      <c r="Q29" s="705"/>
      <c r="R29" s="705">
        <f t="shared" si="4"/>
        <v>1639.4731441048039</v>
      </c>
      <c r="S29" s="705"/>
      <c r="T29" s="705">
        <f t="shared" si="5"/>
        <v>22359.713318777292</v>
      </c>
      <c r="U29" s="707"/>
      <c r="V29" s="711"/>
      <c r="W29" s="709" t="s">
        <v>1025</v>
      </c>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c r="BC29" s="616"/>
      <c r="BD29" s="616"/>
      <c r="BE29" s="616"/>
      <c r="BF29" s="616"/>
      <c r="BG29" s="616"/>
    </row>
    <row r="30" spans="1:59" ht="16" customHeight="1">
      <c r="A30" s="616"/>
      <c r="B30" s="710"/>
      <c r="C30" s="708" t="s">
        <v>1026</v>
      </c>
      <c r="D30" s="708">
        <v>17</v>
      </c>
      <c r="E30" s="704"/>
      <c r="F30" s="705">
        <v>21392.947598253275</v>
      </c>
      <c r="G30" s="705"/>
      <c r="H30" s="705">
        <f t="shared" si="0"/>
        <v>1732.3067685589522</v>
      </c>
      <c r="I30" s="705"/>
      <c r="J30" s="705">
        <f t="shared" si="1"/>
        <v>5540.7734279475981</v>
      </c>
      <c r="K30" s="705"/>
      <c r="L30" s="705">
        <f t="shared" si="2"/>
        <v>28665.947598253275</v>
      </c>
      <c r="M30" s="705"/>
      <c r="N30" s="706">
        <f t="shared" si="3"/>
        <v>21392.947598253275</v>
      </c>
      <c r="O30" s="705"/>
      <c r="P30" s="705"/>
      <c r="Q30" s="705"/>
      <c r="R30" s="705">
        <f t="shared" si="4"/>
        <v>1732.3067685589522</v>
      </c>
      <c r="S30" s="705"/>
      <c r="T30" s="705">
        <f t="shared" si="5"/>
        <v>23125.254366812227</v>
      </c>
      <c r="U30" s="707"/>
      <c r="V30" s="711"/>
      <c r="W30" s="709" t="s">
        <v>1192</v>
      </c>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c r="BC30" s="616"/>
      <c r="BD30" s="616"/>
      <c r="BE30" s="616"/>
      <c r="BF30" s="616"/>
      <c r="BG30" s="616"/>
    </row>
    <row r="31" spans="1:59" ht="16" customHeight="1">
      <c r="A31" s="616"/>
      <c r="B31" s="710"/>
      <c r="C31" s="712" t="s">
        <v>1011</v>
      </c>
      <c r="D31" s="712">
        <v>18</v>
      </c>
      <c r="E31" s="713"/>
      <c r="F31" s="714">
        <v>22132.074235807861</v>
      </c>
      <c r="G31" s="714"/>
      <c r="H31" s="714">
        <f t="shared" si="0"/>
        <v>1834.3062445414848</v>
      </c>
      <c r="I31" s="714"/>
      <c r="J31" s="714">
        <f t="shared" si="1"/>
        <v>5732.2072270742365</v>
      </c>
      <c r="K31" s="714"/>
      <c r="L31" s="714">
        <f t="shared" si="2"/>
        <v>29698.074235807861</v>
      </c>
      <c r="M31" s="714"/>
      <c r="N31" s="715">
        <f t="shared" si="3"/>
        <v>22132.074235807861</v>
      </c>
      <c r="O31" s="714"/>
      <c r="P31" s="714"/>
      <c r="Q31" s="714"/>
      <c r="R31" s="714">
        <f t="shared" si="4"/>
        <v>1834.3062445414848</v>
      </c>
      <c r="S31" s="714"/>
      <c r="T31" s="714">
        <f t="shared" si="5"/>
        <v>23966.380480349344</v>
      </c>
      <c r="U31" s="707"/>
      <c r="V31" s="711"/>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c r="BC31" s="616"/>
      <c r="BD31" s="616"/>
      <c r="BE31" s="616"/>
      <c r="BF31" s="616"/>
      <c r="BG31" s="616"/>
    </row>
    <row r="32" spans="1:59" ht="16" customHeight="1">
      <c r="A32" s="616"/>
      <c r="B32" s="710"/>
      <c r="C32" s="708" t="s">
        <v>1028</v>
      </c>
      <c r="D32" s="708">
        <v>18</v>
      </c>
      <c r="E32" s="704"/>
      <c r="F32" s="705">
        <v>22132.074235807861</v>
      </c>
      <c r="G32" s="705"/>
      <c r="H32" s="705">
        <f t="shared" si="0"/>
        <v>1834.3062445414848</v>
      </c>
      <c r="I32" s="705"/>
      <c r="J32" s="705">
        <f t="shared" si="1"/>
        <v>5732.2072270742365</v>
      </c>
      <c r="K32" s="705"/>
      <c r="L32" s="705">
        <f>F32+ROUND(H32,0)+ROUND(J32,0)</f>
        <v>29698.074235807861</v>
      </c>
      <c r="M32" s="705"/>
      <c r="N32" s="706">
        <f>F32</f>
        <v>22132.074235807861</v>
      </c>
      <c r="O32" s="705"/>
      <c r="P32" s="705"/>
      <c r="Q32" s="705"/>
      <c r="R32" s="705">
        <f t="shared" si="4"/>
        <v>1834.3062445414848</v>
      </c>
      <c r="S32" s="705"/>
      <c r="T32" s="705">
        <f>SUM(N32:R32)</f>
        <v>23966.380480349344</v>
      </c>
      <c r="U32" s="707"/>
      <c r="V32" s="711"/>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c r="BG32" s="616"/>
    </row>
    <row r="33" spans="1:59" ht="16" customHeight="1">
      <c r="A33" s="616"/>
      <c r="B33" s="710"/>
      <c r="C33" s="708" t="s">
        <v>1029</v>
      </c>
      <c r="D33" s="708">
        <v>19</v>
      </c>
      <c r="E33" s="704"/>
      <c r="F33" s="705">
        <v>22808.187772925765</v>
      </c>
      <c r="G33" s="705"/>
      <c r="H33" s="705">
        <f t="shared" si="0"/>
        <v>1927.6099126637557</v>
      </c>
      <c r="I33" s="705"/>
      <c r="J33" s="705">
        <f t="shared" si="1"/>
        <v>5907.3206331877736</v>
      </c>
      <c r="K33" s="705"/>
      <c r="L33" s="705">
        <f>F33+ROUND(H33,0)+ROUND(J33,0)</f>
        <v>30643.187772925765</v>
      </c>
      <c r="M33" s="705"/>
      <c r="N33" s="706">
        <f>F33</f>
        <v>22808.187772925765</v>
      </c>
      <c r="O33" s="705"/>
      <c r="P33" s="705"/>
      <c r="Q33" s="705"/>
      <c r="R33" s="705">
        <f t="shared" si="4"/>
        <v>1927.6099126637557</v>
      </c>
      <c r="S33" s="705"/>
      <c r="T33" s="705">
        <f>SUM(N33:R33)</f>
        <v>24735.797685589521</v>
      </c>
      <c r="U33" s="707"/>
      <c r="V33" s="711"/>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row>
    <row r="34" spans="1:59" ht="16" customHeight="1">
      <c r="A34" s="616"/>
      <c r="B34" s="710"/>
      <c r="C34" s="708" t="s">
        <v>1030</v>
      </c>
      <c r="D34" s="708">
        <v>20</v>
      </c>
      <c r="E34" s="704"/>
      <c r="F34" s="705">
        <v>23612.03056768559</v>
      </c>
      <c r="G34" s="705"/>
      <c r="H34" s="705">
        <f t="shared" si="0"/>
        <v>2038.5402183406115</v>
      </c>
      <c r="I34" s="705"/>
      <c r="J34" s="705">
        <f t="shared" si="1"/>
        <v>6115.5159170305678</v>
      </c>
      <c r="K34" s="705"/>
      <c r="L34" s="705">
        <f>F34+ROUND(H34,0)+ROUND(J34,0)</f>
        <v>31767.03056768559</v>
      </c>
      <c r="M34" s="705"/>
      <c r="N34" s="706">
        <f>F34</f>
        <v>23612.03056768559</v>
      </c>
      <c r="O34" s="705"/>
      <c r="P34" s="705"/>
      <c r="Q34" s="705"/>
      <c r="R34" s="705">
        <f t="shared" si="4"/>
        <v>2038.5402183406115</v>
      </c>
      <c r="S34" s="705"/>
      <c r="T34" s="705">
        <f>SUM(N34:R34)</f>
        <v>25650.570786026201</v>
      </c>
      <c r="U34" s="707"/>
      <c r="V34" s="711"/>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c r="BG34" s="616"/>
    </row>
    <row r="35" spans="1:59" ht="16" customHeight="1">
      <c r="A35" s="616"/>
      <c r="B35" s="710"/>
      <c r="C35" s="712" t="s">
        <v>1011</v>
      </c>
      <c r="D35" s="712">
        <v>21</v>
      </c>
      <c r="E35" s="713"/>
      <c r="F35" s="714">
        <v>24415.021834061135</v>
      </c>
      <c r="G35" s="714"/>
      <c r="H35" s="714">
        <f t="shared" si="0"/>
        <v>2149.3530131004368</v>
      </c>
      <c r="I35" s="714"/>
      <c r="J35" s="714">
        <f t="shared" si="1"/>
        <v>6323.4906550218338</v>
      </c>
      <c r="K35" s="714"/>
      <c r="L35" s="714">
        <f>F35+ROUND(H35,0)+ROUND(J35,0)</f>
        <v>32887.021834061132</v>
      </c>
      <c r="M35" s="714"/>
      <c r="N35" s="715">
        <f>F35</f>
        <v>24415.021834061135</v>
      </c>
      <c r="O35" s="714"/>
      <c r="P35" s="714"/>
      <c r="Q35" s="714"/>
      <c r="R35" s="714">
        <f t="shared" si="4"/>
        <v>2149.3530131004368</v>
      </c>
      <c r="S35" s="714"/>
      <c r="T35" s="714">
        <f>SUM(N35:R35)</f>
        <v>26564.374847161573</v>
      </c>
      <c r="U35" s="707"/>
      <c r="V35" s="711"/>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c r="BG35" s="616"/>
    </row>
    <row r="36" spans="1:59" ht="16" customHeight="1">
      <c r="A36" s="616"/>
      <c r="B36" s="710"/>
      <c r="C36" s="708" t="s">
        <v>1031</v>
      </c>
      <c r="D36" s="708">
        <v>21</v>
      </c>
      <c r="E36" s="704"/>
      <c r="F36" s="705">
        <v>24739.115044247788</v>
      </c>
      <c r="G36" s="705"/>
      <c r="H36" s="705">
        <f t="shared" si="0"/>
        <v>2194.0778761061952</v>
      </c>
      <c r="I36" s="705"/>
      <c r="J36" s="705">
        <f t="shared" si="1"/>
        <v>6407.4307964601776</v>
      </c>
      <c r="K36" s="705"/>
      <c r="L36" s="705">
        <f t="shared" si="2"/>
        <v>33340.115044247788</v>
      </c>
      <c r="M36" s="705"/>
      <c r="N36" s="706">
        <f t="shared" si="3"/>
        <v>24739.115044247788</v>
      </c>
      <c r="O36" s="705"/>
      <c r="P36" s="705"/>
      <c r="Q36" s="705"/>
      <c r="R36" s="705">
        <f t="shared" si="4"/>
        <v>2194.0778761061952</v>
      </c>
      <c r="S36" s="705"/>
      <c r="T36" s="705">
        <f t="shared" si="5"/>
        <v>26933.192920353984</v>
      </c>
      <c r="U36" s="707"/>
      <c r="V36" s="711"/>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c r="BG36" s="616"/>
    </row>
    <row r="37" spans="1:59" ht="16" customHeight="1">
      <c r="A37" s="616"/>
      <c r="B37" s="710"/>
      <c r="C37" s="708" t="s">
        <v>1032</v>
      </c>
      <c r="D37" s="708">
        <v>22</v>
      </c>
      <c r="E37" s="704"/>
      <c r="F37" s="705">
        <v>25815.929203539825</v>
      </c>
      <c r="G37" s="705"/>
      <c r="H37" s="705">
        <f t="shared" si="0"/>
        <v>2342.6782300884961</v>
      </c>
      <c r="I37" s="705"/>
      <c r="J37" s="705">
        <f t="shared" si="1"/>
        <v>6686.3256637168151</v>
      </c>
      <c r="K37" s="705"/>
      <c r="L37" s="705">
        <f t="shared" si="2"/>
        <v>34844.929203539825</v>
      </c>
      <c r="M37" s="705"/>
      <c r="N37" s="706">
        <f t="shared" si="3"/>
        <v>25815.929203539825</v>
      </c>
      <c r="O37" s="705"/>
      <c r="P37" s="705"/>
      <c r="Q37" s="705"/>
      <c r="R37" s="705">
        <f t="shared" si="4"/>
        <v>2342.6782300884961</v>
      </c>
      <c r="S37" s="705"/>
      <c r="T37" s="705">
        <f t="shared" si="5"/>
        <v>28158.60743362832</v>
      </c>
      <c r="U37" s="707"/>
      <c r="V37" s="711"/>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row>
    <row r="38" spans="1:59" ht="16" customHeight="1">
      <c r="A38" s="616"/>
      <c r="B38" s="710"/>
      <c r="C38" s="708" t="s">
        <v>1033</v>
      </c>
      <c r="D38" s="708">
        <v>23</v>
      </c>
      <c r="E38" s="704"/>
      <c r="F38" s="705">
        <v>26793.517699115044</v>
      </c>
      <c r="G38" s="705"/>
      <c r="H38" s="705">
        <f t="shared" si="0"/>
        <v>2477.5854424778763</v>
      </c>
      <c r="I38" s="705"/>
      <c r="J38" s="705">
        <f t="shared" si="1"/>
        <v>6939.5210840707969</v>
      </c>
      <c r="K38" s="705"/>
      <c r="L38" s="705">
        <f>F38+ROUND(H38,0)+ROUND(J38,0)</f>
        <v>36211.517699115044</v>
      </c>
      <c r="M38" s="705"/>
      <c r="N38" s="706">
        <f>F38</f>
        <v>26793.517699115044</v>
      </c>
      <c r="O38" s="705"/>
      <c r="P38" s="705"/>
      <c r="Q38" s="705"/>
      <c r="R38" s="705">
        <f t="shared" si="4"/>
        <v>2477.5854424778763</v>
      </c>
      <c r="S38" s="705"/>
      <c r="T38" s="705">
        <f>SUM(N38:R38)</f>
        <v>29271.103141592921</v>
      </c>
      <c r="U38" s="707"/>
      <c r="V38" s="711"/>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c r="BG38" s="616"/>
    </row>
    <row r="39" spans="1:59" ht="16" customHeight="1">
      <c r="A39" s="616"/>
      <c r="B39" s="710"/>
      <c r="C39" s="708" t="s">
        <v>1011</v>
      </c>
      <c r="D39" s="708">
        <v>24</v>
      </c>
      <c r="E39" s="704"/>
      <c r="F39" s="705">
        <v>27812.522123893807</v>
      </c>
      <c r="G39" s="705"/>
      <c r="H39" s="705">
        <f t="shared" si="0"/>
        <v>2618.2080530973453</v>
      </c>
      <c r="I39" s="705"/>
      <c r="J39" s="705">
        <f t="shared" si="1"/>
        <v>7203.4432300884964</v>
      </c>
      <c r="K39" s="705"/>
      <c r="L39" s="705">
        <f t="shared" si="2"/>
        <v>37633.52212389381</v>
      </c>
      <c r="M39" s="705"/>
      <c r="N39" s="706">
        <f t="shared" si="3"/>
        <v>27812.522123893807</v>
      </c>
      <c r="O39" s="705"/>
      <c r="P39" s="705"/>
      <c r="Q39" s="705"/>
      <c r="R39" s="705">
        <f t="shared" si="4"/>
        <v>2618.2080530973453</v>
      </c>
      <c r="S39" s="705"/>
      <c r="T39" s="705">
        <f t="shared" si="5"/>
        <v>30430.73017699115</v>
      </c>
      <c r="U39" s="707"/>
      <c r="V39" s="711"/>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c r="BG39" s="616"/>
    </row>
    <row r="40" spans="1:59" ht="16" customHeight="1" thickBot="1">
      <c r="A40" s="616"/>
      <c r="B40" s="717"/>
      <c r="C40" s="718"/>
      <c r="D40" s="718"/>
      <c r="E40" s="719"/>
      <c r="F40" s="720"/>
      <c r="G40" s="720"/>
      <c r="H40" s="720"/>
      <c r="I40" s="720"/>
      <c r="J40" s="720"/>
      <c r="K40" s="720"/>
      <c r="L40" s="720"/>
      <c r="M40" s="720"/>
      <c r="N40" s="721"/>
      <c r="O40" s="720"/>
      <c r="P40" s="720"/>
      <c r="Q40" s="720"/>
      <c r="R40" s="720"/>
      <c r="S40" s="720"/>
      <c r="T40" s="720"/>
      <c r="U40" s="722"/>
      <c r="V40" s="711"/>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c r="BG40" s="616"/>
    </row>
    <row r="41" spans="1:59" ht="16" customHeight="1">
      <c r="A41" s="616"/>
      <c r="B41" s="616"/>
      <c r="C41" s="616"/>
      <c r="D41" s="616"/>
      <c r="E41" s="616"/>
      <c r="F41" s="616"/>
      <c r="G41" s="616"/>
      <c r="H41" s="616"/>
      <c r="I41" s="616"/>
      <c r="J41" s="616"/>
      <c r="K41" s="616"/>
      <c r="L41" s="616"/>
      <c r="M41" s="616"/>
      <c r="N41" s="616"/>
      <c r="O41" s="616"/>
      <c r="P41" s="616"/>
      <c r="Q41" s="616"/>
      <c r="R41" s="616"/>
      <c r="S41" s="616"/>
      <c r="T41" s="616"/>
      <c r="U41" s="616"/>
      <c r="V41" s="711"/>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c r="BG41" s="616"/>
    </row>
    <row r="42" spans="1:59" ht="16" customHeight="1">
      <c r="A42" s="616"/>
      <c r="B42" s="616"/>
      <c r="C42" s="616"/>
      <c r="D42" s="616"/>
      <c r="E42" s="616"/>
      <c r="F42" s="616"/>
      <c r="G42" s="616"/>
      <c r="H42" s="616"/>
      <c r="I42" s="616"/>
      <c r="J42" s="616"/>
      <c r="K42" s="616"/>
      <c r="L42" s="616"/>
      <c r="M42" s="616"/>
      <c r="N42" s="616"/>
      <c r="O42" s="616"/>
      <c r="P42" s="616"/>
      <c r="Q42" s="616"/>
      <c r="R42" s="884" t="s">
        <v>1232</v>
      </c>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c r="BG42" s="616"/>
    </row>
    <row r="43" spans="1:59" ht="17.5">
      <c r="A43" s="616"/>
      <c r="B43" s="616"/>
      <c r="C43" s="616"/>
      <c r="D43" s="616">
        <v>8</v>
      </c>
      <c r="E43" s="616"/>
      <c r="F43" s="705">
        <f>16675.480349345*1.02</f>
        <v>17008.989956331901</v>
      </c>
      <c r="G43" s="705"/>
      <c r="H43" s="705">
        <f t="shared" ref="H43" si="6">IF($F43&gt;$W$12,($F43-$W$12)*$Y$12,"ERROR")</f>
        <v>1127.3206139738024</v>
      </c>
      <c r="I43" s="705"/>
      <c r="J43" s="705">
        <f>$F43*($X$15+0.01)</f>
        <v>4575.418298253282</v>
      </c>
      <c r="K43" s="705"/>
      <c r="L43" s="705">
        <f t="shared" ref="L43" si="7">F43+ROUND(H43,0)+ROUND(J43,0)</f>
        <v>22710.989956331901</v>
      </c>
      <c r="M43" s="616"/>
      <c r="N43" s="616"/>
      <c r="O43" s="616"/>
      <c r="P43" s="616"/>
      <c r="Q43" s="616"/>
      <c r="R43" s="616">
        <f>F43*1.25%</f>
        <v>212.61237445414878</v>
      </c>
      <c r="S43" s="616"/>
      <c r="T43" s="616"/>
      <c r="U43" s="616"/>
      <c r="V43" s="616" t="s">
        <v>1239</v>
      </c>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c r="BG43" s="616"/>
    </row>
    <row r="44" spans="1:59">
      <c r="A44" s="616"/>
      <c r="B44" s="616"/>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c r="BG44" s="616"/>
    </row>
    <row r="45" spans="1:59">
      <c r="A45" s="616"/>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row>
    <row r="46" spans="1:59">
      <c r="A46" s="616"/>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c r="BG46" s="616"/>
    </row>
    <row r="47" spans="1:59">
      <c r="A47" s="616"/>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row>
    <row r="48" spans="1:59">
      <c r="A48" s="616"/>
      <c r="B48" s="616"/>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row>
    <row r="49" spans="1:59">
      <c r="A49" s="616"/>
      <c r="B49" s="616"/>
      <c r="C49" s="616"/>
      <c r="D49" s="616"/>
      <c r="E49" s="616"/>
      <c r="F49" s="616"/>
      <c r="G49" s="616"/>
      <c r="H49" s="616"/>
      <c r="I49" s="616"/>
      <c r="J49" s="616"/>
      <c r="K49" s="616"/>
      <c r="L49" s="616"/>
      <c r="M49" s="616"/>
      <c r="N49" s="616"/>
      <c r="O49" s="616"/>
      <c r="P49" s="616"/>
      <c r="Q49" s="616"/>
      <c r="R49" s="616"/>
      <c r="S49" s="616"/>
      <c r="T49" s="616"/>
      <c r="U49" s="616"/>
      <c r="V49" s="616"/>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c r="BC49" s="616"/>
      <c r="BD49" s="616"/>
      <c r="BE49" s="616"/>
      <c r="BF49" s="616"/>
      <c r="BG49" s="616"/>
    </row>
    <row r="50" spans="1:59">
      <c r="A50" s="616"/>
      <c r="B50" s="616"/>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c r="BG50" s="616"/>
    </row>
    <row r="51" spans="1:59">
      <c r="A51" s="616"/>
      <c r="B51" s="616"/>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c r="BG51" s="616"/>
    </row>
    <row r="52" spans="1:59">
      <c r="A52" s="616"/>
      <c r="B52" s="616"/>
      <c r="C52" s="616"/>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c r="BG52" s="616"/>
    </row>
    <row r="53" spans="1:59">
      <c r="A53" s="616"/>
      <c r="B53" s="616"/>
      <c r="C53" s="616"/>
      <c r="D53" s="616"/>
      <c r="E53" s="616"/>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c r="BG53" s="616"/>
    </row>
    <row r="54" spans="1:59">
      <c r="A54" s="616"/>
      <c r="B54" s="616"/>
      <c r="C54" s="616"/>
      <c r="D54" s="616"/>
      <c r="E54" s="616"/>
      <c r="F54" s="616"/>
      <c r="G54" s="616"/>
      <c r="H54" s="616"/>
      <c r="I54" s="616"/>
      <c r="J54" s="616"/>
      <c r="K54" s="616"/>
      <c r="L54" s="616"/>
      <c r="M54" s="616"/>
      <c r="N54" s="616"/>
      <c r="O54" s="616"/>
      <c r="P54" s="616"/>
      <c r="Q54" s="616"/>
      <c r="R54" s="616"/>
      <c r="S54" s="616"/>
      <c r="T54" s="616"/>
      <c r="U54" s="616"/>
      <c r="V54" s="616"/>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c r="BC54" s="616"/>
      <c r="BD54" s="616"/>
      <c r="BE54" s="616"/>
      <c r="BF54" s="616"/>
      <c r="BG54" s="616"/>
    </row>
    <row r="55" spans="1:59">
      <c r="A55" s="616"/>
      <c r="B55" s="616"/>
      <c r="C55" s="616"/>
      <c r="D55" s="616"/>
      <c r="E55" s="616"/>
      <c r="F55" s="616"/>
      <c r="G55" s="616"/>
      <c r="H55" s="616"/>
      <c r="I55" s="616"/>
      <c r="J55" s="616"/>
      <c r="K55" s="616"/>
      <c r="L55" s="616"/>
      <c r="M55" s="616"/>
      <c r="N55" s="616"/>
      <c r="O55" s="616"/>
      <c r="P55" s="616"/>
      <c r="Q55" s="616"/>
      <c r="R55" s="616"/>
      <c r="S55" s="616"/>
      <c r="T55" s="616"/>
      <c r="U55" s="616"/>
      <c r="V55" s="616"/>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c r="BC55" s="616"/>
      <c r="BD55" s="616"/>
      <c r="BE55" s="616"/>
      <c r="BF55" s="616"/>
      <c r="BG55" s="616"/>
    </row>
    <row r="56" spans="1:59">
      <c r="A56" s="616"/>
      <c r="B56" s="616"/>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c r="BG56" s="616"/>
    </row>
    <row r="57" spans="1:59">
      <c r="A57" s="616"/>
      <c r="B57" s="616"/>
      <c r="C57" s="616"/>
      <c r="D57" s="616"/>
      <c r="E57" s="616"/>
      <c r="F57" s="616"/>
      <c r="G57" s="616"/>
      <c r="H57" s="616"/>
      <c r="I57" s="616"/>
      <c r="J57" s="616"/>
      <c r="K57" s="616"/>
      <c r="L57" s="616"/>
      <c r="M57" s="616"/>
      <c r="N57" s="616"/>
      <c r="O57" s="616"/>
      <c r="P57" s="616"/>
      <c r="Q57" s="616"/>
      <c r="R57" s="616"/>
      <c r="S57" s="616"/>
      <c r="T57" s="616"/>
      <c r="U57" s="616"/>
      <c r="V57" s="616"/>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c r="BC57" s="616"/>
      <c r="BD57" s="616"/>
      <c r="BE57" s="616"/>
      <c r="BF57" s="616"/>
      <c r="BG57" s="616"/>
    </row>
    <row r="58" spans="1:59">
      <c r="A58" s="616"/>
      <c r="B58" s="616"/>
      <c r="C58" s="616"/>
      <c r="D58" s="616"/>
      <c r="E58" s="616"/>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c r="BG58" s="616"/>
    </row>
    <row r="59" spans="1:59">
      <c r="A59" s="616"/>
      <c r="B59" s="616"/>
      <c r="C59" s="616"/>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c r="BC59" s="616"/>
      <c r="BD59" s="616"/>
      <c r="BE59" s="616"/>
      <c r="BF59" s="616"/>
      <c r="BG59" s="616"/>
    </row>
    <row r="60" spans="1:59">
      <c r="A60" s="616"/>
      <c r="B60" s="616"/>
      <c r="C60" s="616"/>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c r="BC60" s="616"/>
      <c r="BD60" s="616"/>
      <c r="BE60" s="616"/>
      <c r="BF60" s="616"/>
      <c r="BG60" s="616"/>
    </row>
    <row r="61" spans="1:59">
      <c r="A61" s="616"/>
      <c r="B61" s="616"/>
      <c r="C61" s="616"/>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c r="BC61" s="616"/>
      <c r="BD61" s="616"/>
      <c r="BE61" s="616"/>
      <c r="BF61" s="616"/>
      <c r="BG61" s="616"/>
    </row>
    <row r="62" spans="1:59">
      <c r="A62" s="616"/>
      <c r="B62" s="616"/>
      <c r="C62" s="616"/>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c r="BG62" s="616"/>
    </row>
    <row r="63" spans="1:59">
      <c r="A63" s="616"/>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c r="BC63" s="616"/>
      <c r="BD63" s="616"/>
      <c r="BE63" s="616"/>
      <c r="BF63" s="616"/>
      <c r="BG63" s="616"/>
    </row>
    <row r="64" spans="1:59">
      <c r="A64" s="616"/>
      <c r="B64" s="616"/>
      <c r="C64" s="616"/>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c r="BG64" s="616"/>
    </row>
    <row r="65" spans="1:59">
      <c r="A65" s="616"/>
      <c r="B65" s="616"/>
      <c r="C65" s="616"/>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c r="BG65" s="616"/>
    </row>
    <row r="66" spans="1:59">
      <c r="A66" s="616"/>
      <c r="B66" s="616"/>
      <c r="C66" s="616"/>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c r="BG66" s="616"/>
    </row>
    <row r="67" spans="1:59">
      <c r="A67" s="616"/>
      <c r="B67" s="616"/>
      <c r="C67" s="616"/>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c r="BG67" s="616"/>
    </row>
    <row r="68" spans="1:59">
      <c r="A68" s="616"/>
      <c r="B68" s="616"/>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6"/>
      <c r="AA68" s="616"/>
      <c r="AB68" s="616"/>
      <c r="AC68" s="616"/>
      <c r="AD68" s="616"/>
      <c r="AE68" s="616"/>
      <c r="AF68" s="616"/>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c r="BG68" s="616"/>
    </row>
    <row r="69" spans="1:59">
      <c r="A69" s="616"/>
      <c r="B69" s="616"/>
      <c r="C69" s="616"/>
      <c r="D69" s="616"/>
      <c r="E69" s="616"/>
      <c r="F69" s="616"/>
      <c r="G69" s="616"/>
      <c r="H69" s="616"/>
      <c r="I69" s="616"/>
      <c r="J69" s="616"/>
      <c r="K69" s="616"/>
      <c r="L69" s="616"/>
      <c r="M69" s="616"/>
      <c r="N69" s="616"/>
      <c r="O69" s="616"/>
      <c r="P69" s="616"/>
      <c r="Q69" s="616"/>
      <c r="R69" s="616"/>
      <c r="S69" s="616"/>
      <c r="T69" s="616"/>
      <c r="U69" s="616"/>
      <c r="V69" s="616"/>
      <c r="W69" s="616"/>
      <c r="X69" s="616"/>
      <c r="Y69" s="616"/>
      <c r="Z69" s="616"/>
      <c r="AA69" s="616"/>
      <c r="AB69" s="616"/>
      <c r="AC69" s="616"/>
      <c r="AD69" s="616"/>
      <c r="AE69" s="616"/>
      <c r="AF69" s="616"/>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c r="BG69" s="616"/>
    </row>
    <row r="70" spans="1:59">
      <c r="A70" s="616"/>
      <c r="B70" s="616"/>
      <c r="C70" s="616"/>
      <c r="D70" s="616"/>
      <c r="E70" s="616"/>
      <c r="F70" s="616"/>
      <c r="G70" s="616"/>
      <c r="H70" s="616"/>
      <c r="I70" s="616"/>
      <c r="J70" s="616"/>
      <c r="K70" s="616"/>
      <c r="L70" s="616"/>
      <c r="M70" s="616"/>
      <c r="N70" s="616"/>
      <c r="O70" s="616"/>
      <c r="P70" s="616"/>
      <c r="Q70" s="616"/>
      <c r="R70" s="616"/>
      <c r="S70" s="616"/>
      <c r="T70" s="616"/>
      <c r="U70" s="616"/>
      <c r="V70" s="616"/>
      <c r="W70" s="616"/>
      <c r="X70" s="616"/>
      <c r="Y70" s="616"/>
      <c r="Z70" s="616"/>
      <c r="AA70" s="616"/>
      <c r="AB70" s="616"/>
      <c r="AC70" s="616"/>
      <c r="AD70" s="616"/>
      <c r="AE70" s="616"/>
      <c r="AF70" s="616"/>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c r="BG70" s="616"/>
    </row>
    <row r="71" spans="1:59">
      <c r="A71" s="616"/>
      <c r="B71" s="616"/>
      <c r="C71" s="616"/>
      <c r="D71" s="616"/>
      <c r="E71" s="616"/>
      <c r="F71" s="616"/>
      <c r="G71" s="616"/>
      <c r="H71" s="616"/>
      <c r="I71" s="616"/>
      <c r="J71" s="616"/>
      <c r="K71" s="616"/>
      <c r="L71" s="616"/>
      <c r="M71" s="616"/>
      <c r="N71" s="616"/>
      <c r="O71" s="616"/>
      <c r="P71" s="616"/>
      <c r="Q71" s="616"/>
      <c r="R71" s="616"/>
      <c r="S71" s="616"/>
      <c r="T71" s="616"/>
      <c r="U71" s="616"/>
      <c r="V71" s="616"/>
      <c r="W71" s="616"/>
      <c r="X71" s="616"/>
      <c r="Y71" s="616"/>
      <c r="Z71" s="616"/>
      <c r="AA71" s="616"/>
      <c r="AB71" s="616"/>
      <c r="AC71" s="616"/>
      <c r="AD71" s="616"/>
      <c r="AE71" s="616"/>
      <c r="AF71" s="616"/>
      <c r="AG71" s="616"/>
      <c r="AH71" s="616"/>
      <c r="AI71" s="616"/>
      <c r="AJ71" s="616"/>
      <c r="AK71" s="616"/>
      <c r="AL71" s="616"/>
      <c r="AM71" s="616"/>
      <c r="AN71" s="616"/>
      <c r="AO71" s="616"/>
      <c r="AP71" s="616"/>
      <c r="AQ71" s="616"/>
      <c r="AR71" s="616"/>
      <c r="AS71" s="616"/>
      <c r="AT71" s="616"/>
      <c r="AU71" s="616"/>
      <c r="AV71" s="616"/>
      <c r="AW71" s="616"/>
      <c r="AX71" s="616"/>
      <c r="AY71" s="616"/>
      <c r="AZ71" s="616"/>
      <c r="BA71" s="616"/>
      <c r="BB71" s="616"/>
      <c r="BC71" s="616"/>
      <c r="BD71" s="616"/>
      <c r="BE71" s="616"/>
      <c r="BF71" s="616"/>
      <c r="BG71" s="616"/>
    </row>
    <row r="72" spans="1:59">
      <c r="A72" s="616"/>
      <c r="B72" s="616"/>
      <c r="C72" s="616"/>
      <c r="D72" s="616"/>
      <c r="E72" s="616"/>
      <c r="F72" s="616"/>
      <c r="G72" s="616"/>
      <c r="H72" s="616"/>
      <c r="I72" s="616"/>
      <c r="J72" s="616"/>
      <c r="K72" s="616"/>
      <c r="L72" s="616"/>
      <c r="M72" s="616"/>
      <c r="N72" s="616"/>
      <c r="O72" s="616"/>
      <c r="P72" s="616"/>
      <c r="Q72" s="616"/>
      <c r="R72" s="616"/>
      <c r="S72" s="616"/>
      <c r="T72" s="616"/>
      <c r="U72" s="616"/>
      <c r="V72" s="616"/>
      <c r="W72" s="616"/>
      <c r="X72" s="616"/>
      <c r="Y72" s="616"/>
      <c r="Z72" s="616"/>
      <c r="AA72" s="616"/>
      <c r="AB72" s="616"/>
      <c r="AC72" s="616"/>
      <c r="AD72" s="616"/>
      <c r="AE72" s="616"/>
      <c r="AF72" s="616"/>
      <c r="AG72" s="616"/>
      <c r="AH72" s="616"/>
      <c r="AI72" s="616"/>
      <c r="AJ72" s="616"/>
      <c r="AK72" s="616"/>
      <c r="AL72" s="616"/>
      <c r="AM72" s="616"/>
      <c r="AN72" s="616"/>
      <c r="AO72" s="616"/>
      <c r="AP72" s="616"/>
      <c r="AQ72" s="616"/>
      <c r="AR72" s="616"/>
      <c r="AS72" s="616"/>
      <c r="AT72" s="616"/>
      <c r="AU72" s="616"/>
      <c r="AV72" s="616"/>
      <c r="AW72" s="616"/>
      <c r="AX72" s="616"/>
      <c r="AY72" s="616"/>
      <c r="AZ72" s="616"/>
      <c r="BA72" s="616"/>
      <c r="BB72" s="616"/>
      <c r="BC72" s="616"/>
      <c r="BD72" s="616"/>
      <c r="BE72" s="616"/>
      <c r="BF72" s="616"/>
      <c r="BG72" s="616"/>
    </row>
  </sheetData>
  <mergeCells count="3">
    <mergeCell ref="C9:D9"/>
    <mergeCell ref="B15:M15"/>
    <mergeCell ref="N15:U15"/>
  </mergeCells>
  <pageMargins left="0.35433070866141736" right="0.35433070866141736" top="0.98425196850393704" bottom="0.98425196850393704" header="0.51181102362204722" footer="0.51181102362204722"/>
  <pageSetup paperSize="9" scale="72" orientation="portrait" horizontalDpi="1200"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B64"/>
  <sheetViews>
    <sheetView zoomScale="90" zoomScaleNormal="90" workbookViewId="0">
      <selection activeCell="L22" sqref="L22"/>
    </sheetView>
  </sheetViews>
  <sheetFormatPr defaultColWidth="7.58203125" defaultRowHeight="15.5"/>
  <cols>
    <col min="1" max="1" width="8.25" style="695" customWidth="1"/>
    <col min="2" max="2" width="4.25" style="695" customWidth="1"/>
    <col min="3" max="3" width="14.33203125" style="695" customWidth="1"/>
    <col min="4" max="4" width="7.33203125" style="695" customWidth="1"/>
    <col min="5" max="5" width="6.33203125" style="695" customWidth="1"/>
    <col min="6" max="6" width="9.08203125" style="695" customWidth="1"/>
    <col min="7" max="7" width="2.75" style="695" customWidth="1"/>
    <col min="8" max="8" width="7.58203125" style="695"/>
    <col min="9" max="9" width="2.75" style="695" bestFit="1" customWidth="1"/>
    <col min="10" max="10" width="6.33203125" style="695" customWidth="1"/>
    <col min="11" max="11" width="2.75" style="695" customWidth="1"/>
    <col min="12" max="12" width="7.58203125" style="695"/>
    <col min="13" max="13" width="2.75" style="695" bestFit="1" customWidth="1"/>
    <col min="14" max="14" width="9.25" style="695" bestFit="1" customWidth="1"/>
    <col min="15" max="15" width="2.75" style="695" customWidth="1"/>
    <col min="16" max="16" width="2.83203125" style="695" customWidth="1"/>
    <col min="17" max="17" width="2.75" style="695" bestFit="1" customWidth="1"/>
    <col min="18" max="18" width="7.33203125" style="695" customWidth="1"/>
    <col min="19" max="19" width="2.75" style="695" customWidth="1"/>
    <col min="20" max="20" width="9.83203125" style="695" customWidth="1"/>
    <col min="21" max="21" width="2.75" style="695" customWidth="1"/>
    <col min="22" max="22" width="18.08203125" style="695" customWidth="1"/>
    <col min="23" max="25" width="8.58203125" style="695" customWidth="1"/>
    <col min="26" max="26" width="1.58203125" style="695" customWidth="1"/>
    <col min="27" max="16384" width="7.58203125" style="695"/>
  </cols>
  <sheetData>
    <row r="1" spans="1:54" s="730" customFormat="1" ht="22.5" thickTop="1">
      <c r="A1" s="723"/>
      <c r="B1" s="724" t="s">
        <v>1240</v>
      </c>
      <c r="C1" s="725"/>
      <c r="D1" s="725"/>
      <c r="E1" s="725"/>
      <c r="F1" s="725"/>
      <c r="G1" s="726"/>
      <c r="H1" s="725"/>
      <c r="I1" s="725"/>
      <c r="J1" s="725"/>
      <c r="K1" s="725"/>
      <c r="L1" s="725"/>
      <c r="M1" s="725"/>
      <c r="N1" s="725"/>
      <c r="O1" s="725"/>
      <c r="P1" s="725"/>
      <c r="Q1" s="725"/>
      <c r="R1" s="725"/>
      <c r="S1" s="725"/>
      <c r="T1" s="725"/>
      <c r="U1" s="727"/>
      <c r="V1" s="723"/>
      <c r="W1" s="728"/>
      <c r="X1" s="723"/>
      <c r="Y1" s="723"/>
      <c r="Z1" s="723"/>
      <c r="AA1" s="723"/>
      <c r="AB1" s="723"/>
      <c r="AC1" s="729"/>
      <c r="AD1" s="729"/>
      <c r="AE1" s="729"/>
      <c r="AF1" s="729"/>
      <c r="AG1" s="729"/>
      <c r="AH1" s="729"/>
      <c r="AI1" s="729"/>
      <c r="AJ1" s="729"/>
      <c r="AK1" s="729"/>
      <c r="AL1" s="729"/>
      <c r="AM1" s="729"/>
      <c r="AN1" s="729"/>
      <c r="AO1" s="729"/>
      <c r="AP1" s="729"/>
      <c r="AQ1" s="729"/>
      <c r="AR1" s="729"/>
      <c r="AS1" s="729"/>
      <c r="AT1" s="729"/>
      <c r="AU1" s="729"/>
      <c r="AV1" s="729"/>
      <c r="AW1" s="729"/>
      <c r="AX1" s="729"/>
      <c r="AY1" s="729"/>
      <c r="AZ1" s="729"/>
      <c r="BA1" s="729"/>
      <c r="BB1" s="729"/>
    </row>
    <row r="2" spans="1:54" s="730" customFormat="1" ht="22.5" thickBot="1">
      <c r="A2" s="624" t="s">
        <v>980</v>
      </c>
      <c r="B2" s="731" t="s">
        <v>1211</v>
      </c>
      <c r="C2" s="732"/>
      <c r="D2" s="732"/>
      <c r="E2" s="732"/>
      <c r="F2" s="732"/>
      <c r="G2" s="733"/>
      <c r="H2" s="732"/>
      <c r="I2" s="732"/>
      <c r="J2" s="732"/>
      <c r="K2" s="732"/>
      <c r="L2" s="732"/>
      <c r="M2" s="732"/>
      <c r="N2" s="732"/>
      <c r="O2" s="732"/>
      <c r="P2" s="732"/>
      <c r="Q2" s="732"/>
      <c r="R2" s="732"/>
      <c r="S2" s="732"/>
      <c r="T2" s="732"/>
      <c r="U2" s="734"/>
      <c r="V2" s="723"/>
      <c r="W2" s="728"/>
      <c r="X2" s="723"/>
      <c r="Y2" s="723"/>
      <c r="Z2" s="723"/>
      <c r="AA2" s="723"/>
      <c r="AB2" s="723"/>
      <c r="AC2" s="729"/>
      <c r="AD2" s="729"/>
      <c r="AE2" s="729"/>
      <c r="AF2" s="729"/>
      <c r="AG2" s="729"/>
      <c r="AH2" s="729"/>
      <c r="AI2" s="729"/>
      <c r="AJ2" s="729"/>
      <c r="AK2" s="729"/>
      <c r="AL2" s="729"/>
      <c r="AM2" s="729"/>
      <c r="AN2" s="729"/>
      <c r="AO2" s="729"/>
      <c r="AP2" s="729"/>
      <c r="AQ2" s="729"/>
      <c r="AR2" s="729"/>
      <c r="AS2" s="729"/>
      <c r="AT2" s="729"/>
      <c r="AU2" s="729"/>
      <c r="AV2" s="729"/>
      <c r="AW2" s="729"/>
      <c r="AX2" s="729"/>
      <c r="AY2" s="729"/>
      <c r="AZ2" s="729"/>
      <c r="BA2" s="729"/>
      <c r="BB2" s="729"/>
    </row>
    <row r="3" spans="1:54" s="623" customFormat="1" ht="21.75" customHeight="1">
      <c r="A3" s="624" t="s">
        <v>982</v>
      </c>
      <c r="B3" s="735" t="s">
        <v>983</v>
      </c>
      <c r="C3" s="630"/>
      <c r="D3" s="630"/>
      <c r="E3" s="630"/>
      <c r="F3" s="630"/>
      <c r="G3" s="631"/>
      <c r="H3" s="630"/>
      <c r="I3" s="630"/>
      <c r="J3" s="630"/>
      <c r="K3" s="630"/>
      <c r="L3" s="630"/>
      <c r="M3" s="630"/>
      <c r="N3" s="630"/>
      <c r="O3" s="630"/>
      <c r="P3" s="630"/>
      <c r="Q3" s="630"/>
      <c r="R3" s="630"/>
      <c r="S3" s="630"/>
      <c r="T3" s="630"/>
      <c r="U3" s="632"/>
      <c r="V3" s="616"/>
      <c r="W3" s="621"/>
      <c r="X3" s="616"/>
      <c r="Y3" s="616"/>
      <c r="Z3" s="616"/>
      <c r="AA3" s="616"/>
      <c r="AB3" s="616"/>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row>
    <row r="4" spans="1:54" s="623" customFormat="1" ht="21.75" customHeight="1">
      <c r="A4" s="624"/>
      <c r="B4" s="736"/>
      <c r="C4" s="634"/>
      <c r="D4" s="634"/>
      <c r="E4" s="634"/>
      <c r="F4" s="634"/>
      <c r="G4" s="635"/>
      <c r="H4" s="634"/>
      <c r="I4" s="634"/>
      <c r="J4" s="634"/>
      <c r="K4" s="634"/>
      <c r="L4" s="634"/>
      <c r="M4" s="634"/>
      <c r="N4" s="634"/>
      <c r="O4" s="634"/>
      <c r="P4" s="634"/>
      <c r="Q4" s="634"/>
      <c r="R4" s="634"/>
      <c r="S4" s="634"/>
      <c r="T4" s="634"/>
      <c r="U4" s="636"/>
      <c r="V4" s="616"/>
      <c r="W4" s="621"/>
      <c r="X4" s="616"/>
      <c r="Y4" s="616"/>
      <c r="Z4" s="616"/>
      <c r="AA4" s="616"/>
      <c r="AB4" s="616"/>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row>
    <row r="5" spans="1:54" s="623" customFormat="1" ht="21.75" customHeight="1">
      <c r="A5" s="624"/>
      <c r="B5" s="637" t="s">
        <v>1212</v>
      </c>
      <c r="C5" s="638"/>
      <c r="D5" s="638"/>
      <c r="E5" s="638"/>
      <c r="F5" s="638"/>
      <c r="G5" s="638"/>
      <c r="H5" s="638"/>
      <c r="I5" s="638"/>
      <c r="J5" s="638"/>
      <c r="K5" s="638"/>
      <c r="L5" s="638"/>
      <c r="M5" s="638"/>
      <c r="N5" s="638"/>
      <c r="O5" s="638"/>
      <c r="P5" s="638"/>
      <c r="Q5" s="638"/>
      <c r="R5" s="638"/>
      <c r="S5" s="638"/>
      <c r="T5" s="638"/>
      <c r="U5" s="639"/>
      <c r="V5" s="616"/>
      <c r="W5" s="616"/>
      <c r="X5" s="616"/>
      <c r="Y5" s="616"/>
      <c r="Z5" s="616"/>
      <c r="AA5" s="616"/>
      <c r="AB5" s="616"/>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row>
    <row r="6" spans="1:54" s="623" customFormat="1" ht="21.75" customHeight="1">
      <c r="A6" s="624"/>
      <c r="B6" s="637" t="s">
        <v>1213</v>
      </c>
      <c r="C6" s="638"/>
      <c r="D6" s="638"/>
      <c r="E6" s="638"/>
      <c r="F6" s="638"/>
      <c r="G6" s="638"/>
      <c r="H6" s="638"/>
      <c r="I6" s="638"/>
      <c r="J6" s="638"/>
      <c r="K6" s="638"/>
      <c r="L6" s="638"/>
      <c r="M6" s="638"/>
      <c r="N6" s="638"/>
      <c r="O6" s="638"/>
      <c r="P6" s="638"/>
      <c r="Q6" s="638"/>
      <c r="R6" s="638"/>
      <c r="S6" s="638"/>
      <c r="T6" s="638"/>
      <c r="U6" s="639"/>
      <c r="V6" s="616"/>
      <c r="W6" s="616"/>
      <c r="X6" s="616"/>
      <c r="Y6" s="616"/>
      <c r="Z6" s="616"/>
      <c r="AA6" s="616"/>
      <c r="AB6" s="616"/>
      <c r="AC6" s="622"/>
      <c r="AD6" s="622"/>
      <c r="AE6" s="622"/>
      <c r="AF6" s="622"/>
      <c r="AG6" s="622"/>
      <c r="AH6" s="622"/>
      <c r="AI6" s="622"/>
      <c r="AJ6" s="622"/>
      <c r="AK6" s="622"/>
      <c r="AL6" s="622"/>
      <c r="AM6" s="622"/>
      <c r="AN6" s="622"/>
      <c r="AO6" s="622"/>
      <c r="AP6" s="622"/>
      <c r="AQ6" s="622"/>
      <c r="AR6" s="622"/>
      <c r="AS6" s="622"/>
      <c r="AT6" s="622"/>
      <c r="AU6" s="622"/>
      <c r="AV6" s="622"/>
      <c r="AW6" s="622"/>
      <c r="AX6" s="622"/>
      <c r="AY6" s="622"/>
      <c r="AZ6" s="622"/>
      <c r="BA6" s="622"/>
      <c r="BB6" s="622"/>
    </row>
    <row r="7" spans="1:54" s="623" customFormat="1" ht="21.75" customHeight="1">
      <c r="A7" s="624"/>
      <c r="B7" s="737" t="s">
        <v>1237</v>
      </c>
      <c r="C7" s="638"/>
      <c r="D7" s="638"/>
      <c r="E7" s="638"/>
      <c r="F7" s="638"/>
      <c r="G7" s="638"/>
      <c r="H7" s="638"/>
      <c r="I7" s="638"/>
      <c r="J7" s="638"/>
      <c r="K7" s="638"/>
      <c r="L7" s="638"/>
      <c r="M7" s="638"/>
      <c r="N7" s="638"/>
      <c r="O7" s="638"/>
      <c r="P7" s="638"/>
      <c r="Q7" s="638"/>
      <c r="R7" s="638"/>
      <c r="S7" s="638"/>
      <c r="T7" s="638"/>
      <c r="U7" s="639"/>
      <c r="V7" s="616"/>
      <c r="W7" s="616"/>
      <c r="X7" s="616"/>
      <c r="Y7" s="616"/>
      <c r="Z7" s="616"/>
      <c r="AA7" s="616"/>
      <c r="AB7" s="616"/>
      <c r="AC7" s="622"/>
      <c r="AD7" s="622"/>
      <c r="AE7" s="622"/>
      <c r="AF7" s="622"/>
      <c r="AG7" s="622"/>
      <c r="AH7" s="622"/>
      <c r="AI7" s="622"/>
      <c r="AJ7" s="622"/>
      <c r="AK7" s="622"/>
      <c r="AL7" s="622"/>
      <c r="AM7" s="622"/>
      <c r="AN7" s="622"/>
      <c r="AO7" s="622"/>
      <c r="AP7" s="622"/>
      <c r="AQ7" s="622"/>
      <c r="AR7" s="622"/>
      <c r="AS7" s="622"/>
      <c r="AT7" s="622"/>
      <c r="AU7" s="622"/>
      <c r="AV7" s="622"/>
      <c r="AW7" s="622"/>
      <c r="AX7" s="622"/>
      <c r="AY7" s="622"/>
      <c r="AZ7" s="622"/>
      <c r="BA7" s="622"/>
      <c r="BB7" s="622"/>
    </row>
    <row r="8" spans="1:54" s="623" customFormat="1" ht="21.75" customHeight="1" thickBot="1">
      <c r="A8" s="624"/>
      <c r="B8" s="641" t="s">
        <v>1241</v>
      </c>
      <c r="C8" s="642"/>
      <c r="D8" s="642"/>
      <c r="E8" s="642"/>
      <c r="F8" s="642"/>
      <c r="G8" s="642"/>
      <c r="H8" s="642"/>
      <c r="I8" s="642"/>
      <c r="J8" s="642"/>
      <c r="K8" s="642"/>
      <c r="L8" s="642"/>
      <c r="M8" s="642"/>
      <c r="N8" s="642"/>
      <c r="O8" s="642"/>
      <c r="P8" s="642"/>
      <c r="Q8" s="642"/>
      <c r="R8" s="642"/>
      <c r="S8" s="642"/>
      <c r="T8" s="642"/>
      <c r="U8" s="643"/>
      <c r="V8" s="616"/>
      <c r="W8" s="616"/>
      <c r="X8" s="616"/>
      <c r="Y8" s="616"/>
      <c r="Z8" s="616"/>
      <c r="AA8" s="616"/>
      <c r="AB8" s="616"/>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row>
    <row r="9" spans="1:54" s="623" customFormat="1" ht="21.75" customHeight="1">
      <c r="A9" s="624" t="s">
        <v>989</v>
      </c>
      <c r="B9" s="644"/>
      <c r="C9" s="1174" t="s">
        <v>990</v>
      </c>
      <c r="D9" s="1174"/>
      <c r="E9" s="645"/>
      <c r="F9" s="646" t="s">
        <v>1214</v>
      </c>
      <c r="G9" s="645"/>
      <c r="H9" s="645"/>
      <c r="I9" s="645"/>
      <c r="J9" s="645"/>
      <c r="K9" s="645"/>
      <c r="L9" s="645"/>
      <c r="M9" s="645"/>
      <c r="N9" s="645"/>
      <c r="O9" s="738" t="s">
        <v>1215</v>
      </c>
      <c r="P9" s="648"/>
      <c r="Q9" s="648"/>
      <c r="R9" s="649"/>
      <c r="S9" s="649"/>
      <c r="T9" s="649"/>
      <c r="U9" s="650"/>
      <c r="V9" s="624" t="s">
        <v>993</v>
      </c>
      <c r="W9" s="644" t="s">
        <v>994</v>
      </c>
      <c r="X9" s="645">
        <v>1</v>
      </c>
      <c r="Y9" s="739">
        <v>2</v>
      </c>
      <c r="Z9" s="616"/>
      <c r="AA9" s="616"/>
      <c r="AB9" s="616"/>
      <c r="AC9" s="622"/>
      <c r="AD9" s="622"/>
      <c r="AE9" s="622"/>
      <c r="AF9" s="622"/>
      <c r="AG9" s="622"/>
      <c r="AH9" s="622"/>
      <c r="AI9" s="622"/>
      <c r="AJ9" s="622"/>
      <c r="AK9" s="622"/>
      <c r="AL9" s="622"/>
      <c r="AM9" s="622"/>
      <c r="AN9" s="622"/>
      <c r="AO9" s="622"/>
      <c r="AP9" s="622"/>
      <c r="AQ9" s="622"/>
      <c r="AR9" s="622"/>
      <c r="AS9" s="622"/>
      <c r="AT9" s="622"/>
      <c r="AU9" s="622"/>
      <c r="AV9" s="622"/>
      <c r="AW9" s="622"/>
      <c r="AX9" s="622"/>
      <c r="AY9" s="622"/>
      <c r="AZ9" s="622"/>
      <c r="BA9" s="622"/>
      <c r="BB9" s="622"/>
    </row>
    <row r="10" spans="1:54" s="661" customFormat="1">
      <c r="A10" s="654"/>
      <c r="B10" s="655"/>
      <c r="C10" s="656">
        <f>$W$11</f>
        <v>0</v>
      </c>
      <c r="D10" s="656">
        <f>$W$12</f>
        <v>8840</v>
      </c>
      <c r="E10" s="656"/>
      <c r="F10" s="657" t="s">
        <v>995</v>
      </c>
      <c r="G10" s="656"/>
      <c r="H10" s="656"/>
      <c r="I10" s="656"/>
      <c r="J10" s="656"/>
      <c r="K10" s="656"/>
      <c r="L10" s="656"/>
      <c r="M10" s="656"/>
      <c r="N10" s="656"/>
      <c r="O10" s="656"/>
      <c r="P10" s="656"/>
      <c r="Q10" s="656"/>
      <c r="R10" s="656"/>
      <c r="S10" s="656"/>
      <c r="T10" s="656"/>
      <c r="U10" s="658"/>
      <c r="V10" s="659"/>
      <c r="W10" s="655">
        <v>0</v>
      </c>
      <c r="X10" s="656">
        <v>0</v>
      </c>
      <c r="Y10" s="658">
        <v>0</v>
      </c>
      <c r="Z10" s="659"/>
      <c r="AA10" s="659"/>
      <c r="AB10" s="659"/>
      <c r="AC10" s="660"/>
      <c r="AD10" s="660"/>
      <c r="AE10" s="660"/>
      <c r="AF10" s="660"/>
      <c r="AG10" s="660"/>
      <c r="AH10" s="660"/>
      <c r="AI10" s="660"/>
      <c r="AJ10" s="660"/>
      <c r="AK10" s="660"/>
      <c r="AL10" s="660"/>
      <c r="AM10" s="660"/>
      <c r="AN10" s="660"/>
      <c r="AO10" s="660"/>
      <c r="AP10" s="660"/>
      <c r="AQ10" s="660"/>
      <c r="AR10" s="660"/>
      <c r="AS10" s="660"/>
      <c r="AT10" s="660"/>
      <c r="AU10" s="660"/>
      <c r="AV10" s="660"/>
      <c r="AW10" s="660"/>
      <c r="AX10" s="660"/>
      <c r="AY10" s="660"/>
      <c r="AZ10" s="660"/>
      <c r="BA10" s="660"/>
      <c r="BB10" s="660"/>
    </row>
    <row r="11" spans="1:54" s="661" customFormat="1">
      <c r="A11" s="654"/>
      <c r="B11" s="655"/>
      <c r="C11" s="656">
        <f>$W$12</f>
        <v>8840</v>
      </c>
      <c r="D11" s="656" t="s">
        <v>996</v>
      </c>
      <c r="E11" s="656"/>
      <c r="F11" s="657" t="s">
        <v>997</v>
      </c>
      <c r="G11" s="656"/>
      <c r="H11" s="662">
        <f>$Y$12*100</f>
        <v>13.8</v>
      </c>
      <c r="I11" s="662" t="s">
        <v>998</v>
      </c>
      <c r="J11" s="656"/>
      <c r="K11" s="656"/>
      <c r="L11" s="656"/>
      <c r="M11" s="656"/>
      <c r="N11" s="656"/>
      <c r="O11" s="656"/>
      <c r="P11" s="656"/>
      <c r="Q11" s="656"/>
      <c r="R11" s="664"/>
      <c r="S11" s="656"/>
      <c r="T11" s="665"/>
      <c r="U11" s="666"/>
      <c r="V11" s="659"/>
      <c r="W11" s="655"/>
      <c r="X11" s="668"/>
      <c r="Y11" s="669"/>
      <c r="Z11" s="659"/>
      <c r="AA11" s="659"/>
      <c r="AB11" s="659"/>
      <c r="AC11" s="660"/>
      <c r="AD11" s="660"/>
      <c r="AE11" s="660"/>
      <c r="AF11" s="660"/>
      <c r="AG11" s="660"/>
      <c r="AH11" s="660"/>
      <c r="AI11" s="660"/>
      <c r="AJ11" s="660"/>
      <c r="AK11" s="660"/>
      <c r="AL11" s="660"/>
      <c r="AM11" s="660"/>
      <c r="AN11" s="660"/>
      <c r="AO11" s="660"/>
      <c r="AP11" s="660"/>
      <c r="AQ11" s="660"/>
      <c r="AR11" s="660"/>
      <c r="AS11" s="660"/>
      <c r="AT11" s="660"/>
      <c r="AU11" s="660"/>
      <c r="AV11" s="660"/>
      <c r="AW11" s="660"/>
      <c r="AX11" s="660"/>
      <c r="AY11" s="660"/>
      <c r="AZ11" s="660"/>
      <c r="BA11" s="660"/>
      <c r="BB11" s="660"/>
    </row>
    <row r="12" spans="1:54" s="661" customFormat="1" ht="16" thickBot="1">
      <c r="A12" s="654"/>
      <c r="B12" s="670"/>
      <c r="C12" s="671"/>
      <c r="D12" s="671"/>
      <c r="E12" s="671"/>
      <c r="F12" s="671"/>
      <c r="G12" s="672"/>
      <c r="H12" s="673"/>
      <c r="I12" s="672"/>
      <c r="J12" s="671"/>
      <c r="K12" s="674"/>
      <c r="L12" s="675"/>
      <c r="M12" s="674"/>
      <c r="N12" s="671"/>
      <c r="O12" s="671"/>
      <c r="P12" s="676"/>
      <c r="Q12" s="671"/>
      <c r="R12" s="677"/>
      <c r="S12" s="671"/>
      <c r="T12" s="673"/>
      <c r="U12" s="740"/>
      <c r="V12" s="667" t="s">
        <v>1000</v>
      </c>
      <c r="W12" s="655">
        <v>8840</v>
      </c>
      <c r="X12" s="668">
        <v>0</v>
      </c>
      <c r="Y12" s="669">
        <v>0.13800000000000001</v>
      </c>
      <c r="Z12" s="659"/>
      <c r="AA12" s="659"/>
      <c r="AB12" s="659"/>
      <c r="AC12" s="660"/>
      <c r="AD12" s="660"/>
      <c r="AE12" s="660"/>
      <c r="AF12" s="660"/>
      <c r="AG12" s="660"/>
      <c r="AH12" s="660"/>
      <c r="AI12" s="660"/>
      <c r="AJ12" s="660"/>
      <c r="AK12" s="660"/>
      <c r="AL12" s="660"/>
      <c r="AM12" s="660"/>
      <c r="AN12" s="660"/>
      <c r="AO12" s="660"/>
      <c r="AP12" s="660"/>
      <c r="AQ12" s="660"/>
      <c r="AR12" s="660"/>
      <c r="AS12" s="660"/>
      <c r="AT12" s="660"/>
      <c r="AU12" s="660"/>
      <c r="AV12" s="660"/>
      <c r="AW12" s="660"/>
      <c r="AX12" s="660"/>
      <c r="AY12" s="660"/>
      <c r="AZ12" s="660"/>
      <c r="BA12" s="660"/>
      <c r="BB12" s="660"/>
    </row>
    <row r="13" spans="1:54" s="661" customFormat="1" ht="16" thickBot="1">
      <c r="A13" s="654"/>
      <c r="B13" s="679"/>
      <c r="C13" s="680"/>
      <c r="D13" s="680"/>
      <c r="E13" s="681"/>
      <c r="F13" s="680"/>
      <c r="G13" s="681"/>
      <c r="H13" s="680"/>
      <c r="I13" s="681"/>
      <c r="J13" s="680"/>
      <c r="K13" s="681"/>
      <c r="L13" s="680"/>
      <c r="M13" s="681"/>
      <c r="N13" s="681"/>
      <c r="O13" s="681"/>
      <c r="P13" s="681"/>
      <c r="Q13" s="681"/>
      <c r="R13" s="681"/>
      <c r="S13" s="681"/>
      <c r="T13" s="681"/>
      <c r="U13" s="681"/>
      <c r="V13" s="659"/>
      <c r="W13" s="655"/>
      <c r="X13" s="668"/>
      <c r="Y13" s="669"/>
      <c r="Z13" s="659"/>
      <c r="AA13" s="659"/>
      <c r="AB13" s="659"/>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row>
    <row r="14" spans="1:54" s="661" customFormat="1" ht="17.5" thickTop="1" thickBot="1">
      <c r="A14" s="624"/>
      <c r="B14" s="683"/>
      <c r="C14" s="683"/>
      <c r="D14" s="683"/>
      <c r="E14" s="683"/>
      <c r="F14" s="683"/>
      <c r="G14" s="683"/>
      <c r="H14" s="683"/>
      <c r="I14" s="683"/>
      <c r="J14" s="683"/>
      <c r="K14" s="683"/>
      <c r="L14" s="683"/>
      <c r="M14" s="683"/>
      <c r="N14" s="683"/>
      <c r="O14" s="683"/>
      <c r="P14" s="683"/>
      <c r="Q14" s="683"/>
      <c r="R14" s="683"/>
      <c r="S14" s="683"/>
      <c r="T14" s="683"/>
      <c r="U14" s="683"/>
      <c r="V14" s="659"/>
      <c r="W14" s="741" t="s">
        <v>1005</v>
      </c>
      <c r="X14" s="687">
        <v>0.25900000000000001</v>
      </c>
      <c r="Y14" s="678"/>
      <c r="Z14" s="659"/>
      <c r="AA14" s="659"/>
      <c r="AB14" s="659"/>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row>
    <row r="15" spans="1:54">
      <c r="A15" s="624" t="s">
        <v>1002</v>
      </c>
      <c r="B15" s="742"/>
      <c r="C15" s="743"/>
      <c r="D15" s="743"/>
      <c r="E15" s="744"/>
      <c r="F15" s="745"/>
      <c r="G15" s="746"/>
      <c r="H15" s="745"/>
      <c r="I15" s="746"/>
      <c r="J15" s="745"/>
      <c r="K15" s="746"/>
      <c r="L15" s="745"/>
      <c r="M15" s="744"/>
      <c r="N15" s="747"/>
      <c r="O15" s="748"/>
      <c r="P15" s="748"/>
      <c r="Q15" s="748"/>
      <c r="R15" s="748"/>
      <c r="S15" s="748"/>
      <c r="T15" s="748"/>
      <c r="U15" s="749"/>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row>
    <row r="16" spans="1:54" ht="16" customHeight="1">
      <c r="A16" s="616"/>
      <c r="B16" s="688"/>
      <c r="C16" s="689" t="s">
        <v>1006</v>
      </c>
      <c r="D16" s="689" t="s">
        <v>1007</v>
      </c>
      <c r="E16" s="689"/>
      <c r="F16" s="690" t="s">
        <v>1008</v>
      </c>
      <c r="G16" s="689"/>
      <c r="H16" s="690" t="s">
        <v>1009</v>
      </c>
      <c r="I16" s="689"/>
      <c r="J16" s="690" t="s">
        <v>1005</v>
      </c>
      <c r="K16" s="689"/>
      <c r="L16" s="690" t="s">
        <v>1010</v>
      </c>
      <c r="M16" s="691"/>
      <c r="N16" s="692" t="s">
        <v>1008</v>
      </c>
      <c r="O16" s="689"/>
      <c r="P16" s="689"/>
      <c r="Q16" s="689"/>
      <c r="R16" s="690" t="s">
        <v>1009</v>
      </c>
      <c r="S16" s="689"/>
      <c r="T16" s="693" t="s">
        <v>1010</v>
      </c>
      <c r="U16" s="694"/>
      <c r="V16" s="616"/>
      <c r="W16" s="616" t="s">
        <v>1242</v>
      </c>
      <c r="X16" s="700"/>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row>
    <row r="17" spans="1:54" ht="16" customHeight="1" thickBot="1">
      <c r="A17" s="616"/>
      <c r="B17" s="696"/>
      <c r="C17" s="697"/>
      <c r="D17" s="697"/>
      <c r="E17" s="697"/>
      <c r="F17" s="697"/>
      <c r="G17" s="697"/>
      <c r="H17" s="697"/>
      <c r="I17" s="697"/>
      <c r="J17" s="697"/>
      <c r="K17" s="697"/>
      <c r="L17" s="697"/>
      <c r="M17" s="697"/>
      <c r="N17" s="698"/>
      <c r="O17" s="697"/>
      <c r="P17" s="697"/>
      <c r="Q17" s="697"/>
      <c r="R17" s="697"/>
      <c r="S17" s="697"/>
      <c r="T17" s="697"/>
      <c r="U17" s="699"/>
      <c r="V17" s="616"/>
      <c r="W17" s="616" t="s">
        <v>1015</v>
      </c>
      <c r="X17" s="700"/>
      <c r="Y17" s="616"/>
      <c r="Z17" s="616"/>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row>
    <row r="18" spans="1:54" ht="16" customHeight="1">
      <c r="A18" s="616"/>
      <c r="B18" s="701"/>
      <c r="C18" s="750" t="s">
        <v>1011</v>
      </c>
      <c r="D18" s="751"/>
      <c r="E18" s="752"/>
      <c r="F18" s="753"/>
      <c r="G18" s="753"/>
      <c r="H18" s="753"/>
      <c r="I18" s="753"/>
      <c r="J18" s="753"/>
      <c r="K18" s="753"/>
      <c r="L18" s="753"/>
      <c r="M18" s="753"/>
      <c r="N18" s="754"/>
      <c r="O18" s="753"/>
      <c r="P18" s="753"/>
      <c r="Q18" s="753"/>
      <c r="R18" s="753"/>
      <c r="S18" s="753"/>
      <c r="T18" s="753"/>
      <c r="U18" s="707"/>
      <c r="V18" s="616"/>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row>
    <row r="19" spans="1:54" ht="16" customHeight="1">
      <c r="A19" s="616"/>
      <c r="B19" s="701"/>
      <c r="C19" s="751" t="s">
        <v>1011</v>
      </c>
      <c r="D19" s="751"/>
      <c r="E19" s="752"/>
      <c r="F19" s="753"/>
      <c r="G19" s="753"/>
      <c r="H19" s="753"/>
      <c r="I19" s="753"/>
      <c r="J19" s="753"/>
      <c r="K19" s="753"/>
      <c r="L19" s="753"/>
      <c r="M19" s="753"/>
      <c r="N19" s="754"/>
      <c r="O19" s="753"/>
      <c r="P19" s="753"/>
      <c r="Q19" s="753"/>
      <c r="R19" s="753"/>
      <c r="S19" s="753"/>
      <c r="T19" s="753"/>
      <c r="U19" s="707"/>
      <c r="V19" s="711"/>
      <c r="W19" s="616" t="s">
        <v>1016</v>
      </c>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row>
    <row r="20" spans="1:54" ht="16" customHeight="1">
      <c r="A20" s="616"/>
      <c r="B20" s="710"/>
      <c r="C20" s="755" t="s">
        <v>1012</v>
      </c>
      <c r="D20" s="755">
        <v>6</v>
      </c>
      <c r="E20" s="752"/>
      <c r="F20" s="753">
        <v>16376.517857142857</v>
      </c>
      <c r="G20" s="753"/>
      <c r="H20" s="753">
        <f>IF($F20&gt;$W$13,($F20-$W$12)*$Y$12,"ERROR")</f>
        <v>1040.0394642857143</v>
      </c>
      <c r="I20" s="753"/>
      <c r="J20" s="753">
        <f t="shared" ref="J20:J39" si="0">$F20*$X$14</f>
        <v>4241.5181250000005</v>
      </c>
      <c r="K20" s="753"/>
      <c r="L20" s="753">
        <f t="shared" ref="L20:L39" si="1">F20+ROUND(H20,0)+ROUND(J20,0)</f>
        <v>21658.517857142855</v>
      </c>
      <c r="M20" s="753"/>
      <c r="N20" s="754">
        <f t="shared" ref="N20:N38" si="2">F20</f>
        <v>16376.517857142857</v>
      </c>
      <c r="O20" s="753"/>
      <c r="P20" s="753"/>
      <c r="Q20" s="753"/>
      <c r="R20" s="753">
        <f t="shared" ref="R20:R39" si="3">IF($N20&gt;$W$12,($N20-$W$12)*$Y$12,"ERROR")</f>
        <v>1040.0394642857143</v>
      </c>
      <c r="S20" s="753"/>
      <c r="T20" s="753">
        <f>SUM(N20:R20)</f>
        <v>17416.557321428572</v>
      </c>
      <c r="U20" s="707"/>
      <c r="V20" s="711"/>
      <c r="W20" s="616" t="s">
        <v>1017</v>
      </c>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row>
    <row r="21" spans="1:54" ht="16" customHeight="1">
      <c r="A21" s="616"/>
      <c r="B21" s="710"/>
      <c r="C21" s="755" t="s">
        <v>1243</v>
      </c>
      <c r="D21" s="755">
        <v>7</v>
      </c>
      <c r="E21" s="752"/>
      <c r="F21" s="753">
        <v>16693.392857142859</v>
      </c>
      <c r="G21" s="753"/>
      <c r="H21" s="753">
        <f t="shared" ref="H21:H39" si="4">IF($F21&gt;$W$13,($F21-$W$12)*$Y$12,"ERROR")</f>
        <v>1083.7682142857145</v>
      </c>
      <c r="I21" s="753"/>
      <c r="J21" s="753">
        <f t="shared" si="0"/>
        <v>4323.5887500000008</v>
      </c>
      <c r="K21" s="753"/>
      <c r="L21" s="753">
        <f t="shared" si="1"/>
        <v>22101.392857142859</v>
      </c>
      <c r="M21" s="753"/>
      <c r="N21" s="754">
        <f t="shared" si="2"/>
        <v>16693.392857142859</v>
      </c>
      <c r="O21" s="753"/>
      <c r="P21" s="753"/>
      <c r="Q21" s="753"/>
      <c r="R21" s="753">
        <f t="shared" si="3"/>
        <v>1083.7682142857145</v>
      </c>
      <c r="S21" s="753"/>
      <c r="T21" s="753">
        <f t="shared" ref="T21:T38" si="5">SUM(N21:R21)</f>
        <v>17777.161071428574</v>
      </c>
      <c r="U21" s="707"/>
      <c r="V21" s="616"/>
      <c r="W21" s="616"/>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row>
    <row r="22" spans="1:54" ht="16" customHeight="1">
      <c r="A22" s="616"/>
      <c r="B22" s="710"/>
      <c r="C22" s="755" t="s">
        <v>1011</v>
      </c>
      <c r="D22" s="755">
        <v>8</v>
      </c>
      <c r="E22" s="752"/>
      <c r="F22" s="753">
        <v>17047.700892857141</v>
      </c>
      <c r="G22" s="753"/>
      <c r="H22" s="753">
        <f t="shared" si="4"/>
        <v>1132.6627232142855</v>
      </c>
      <c r="I22" s="753"/>
      <c r="J22" s="753">
        <f t="shared" si="0"/>
        <v>4415.35453125</v>
      </c>
      <c r="K22" s="753"/>
      <c r="L22" s="753">
        <f t="shared" si="1"/>
        <v>22595.700892857141</v>
      </c>
      <c r="M22" s="753"/>
      <c r="N22" s="754">
        <f t="shared" si="2"/>
        <v>17047.700892857141</v>
      </c>
      <c r="O22" s="753"/>
      <c r="P22" s="753"/>
      <c r="Q22" s="753"/>
      <c r="R22" s="753">
        <f t="shared" si="3"/>
        <v>1132.6627232142855</v>
      </c>
      <c r="S22" s="753"/>
      <c r="T22" s="753">
        <f t="shared" si="5"/>
        <v>18180.363616071427</v>
      </c>
      <c r="U22" s="707"/>
      <c r="V22" s="711"/>
      <c r="W22" s="616" t="s">
        <v>1020</v>
      </c>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row>
    <row r="23" spans="1:54" ht="16" customHeight="1">
      <c r="A23" s="616"/>
      <c r="B23" s="710"/>
      <c r="C23" s="756" t="s">
        <v>1011</v>
      </c>
      <c r="D23" s="756">
        <v>9</v>
      </c>
      <c r="E23" s="757"/>
      <c r="F23" s="758">
        <v>17365.446428571428</v>
      </c>
      <c r="G23" s="758"/>
      <c r="H23" s="758">
        <f t="shared" si="4"/>
        <v>1176.5116071428572</v>
      </c>
      <c r="I23" s="758"/>
      <c r="J23" s="758">
        <f t="shared" si="0"/>
        <v>4497.6506250000002</v>
      </c>
      <c r="K23" s="758"/>
      <c r="L23" s="758">
        <f t="shared" si="1"/>
        <v>23040.446428571428</v>
      </c>
      <c r="M23" s="758"/>
      <c r="N23" s="759">
        <f t="shared" si="2"/>
        <v>17365.446428571428</v>
      </c>
      <c r="O23" s="758"/>
      <c r="P23" s="758"/>
      <c r="Q23" s="758"/>
      <c r="R23" s="758">
        <f t="shared" si="3"/>
        <v>1176.5116071428572</v>
      </c>
      <c r="S23" s="758"/>
      <c r="T23" s="758">
        <f t="shared" si="5"/>
        <v>18541.958035714284</v>
      </c>
      <c r="U23" s="707"/>
      <c r="V23" s="616"/>
      <c r="W23" s="616" t="s">
        <v>1190</v>
      </c>
      <c r="X23" s="616"/>
      <c r="Y23" s="616"/>
      <c r="Z23" s="616"/>
      <c r="AA23" s="616"/>
      <c r="AB23" s="616"/>
      <c r="AC23" s="616"/>
      <c r="AD23" s="616"/>
      <c r="AE23" s="616"/>
      <c r="AF23" s="616"/>
      <c r="AG23" s="616"/>
      <c r="AH23" s="616"/>
      <c r="AI23" s="616"/>
      <c r="AJ23" s="616"/>
      <c r="AK23" s="616"/>
      <c r="AL23" s="616"/>
      <c r="AM23" s="616"/>
      <c r="AN23" s="616"/>
      <c r="AO23" s="616"/>
      <c r="AP23" s="616"/>
      <c r="AQ23" s="616"/>
      <c r="AR23" s="616"/>
      <c r="AS23" s="616"/>
      <c r="AT23" s="616"/>
      <c r="AU23" s="616"/>
      <c r="AV23" s="616"/>
      <c r="AW23" s="616"/>
      <c r="AX23" s="616"/>
      <c r="AY23" s="616"/>
      <c r="AZ23" s="616"/>
      <c r="BA23" s="616"/>
      <c r="BB23" s="616"/>
    </row>
    <row r="24" spans="1:54" ht="16" customHeight="1">
      <c r="A24" s="616"/>
      <c r="B24" s="710"/>
      <c r="C24" s="755" t="s">
        <v>1018</v>
      </c>
      <c r="D24" s="755">
        <v>12</v>
      </c>
      <c r="E24" s="752"/>
      <c r="F24" s="753">
        <v>18414.441964285714</v>
      </c>
      <c r="G24" s="753"/>
      <c r="H24" s="753">
        <f t="shared" si="4"/>
        <v>1321.2729910714286</v>
      </c>
      <c r="I24" s="753"/>
      <c r="J24" s="753">
        <f t="shared" si="0"/>
        <v>4769.3404687499997</v>
      </c>
      <c r="K24" s="753"/>
      <c r="L24" s="753">
        <f t="shared" si="1"/>
        <v>24504.441964285714</v>
      </c>
      <c r="M24" s="753"/>
      <c r="N24" s="754">
        <f t="shared" si="2"/>
        <v>18414.441964285714</v>
      </c>
      <c r="O24" s="753"/>
      <c r="P24" s="753"/>
      <c r="Q24" s="753"/>
      <c r="R24" s="753">
        <f t="shared" si="3"/>
        <v>1321.2729910714286</v>
      </c>
      <c r="S24" s="753"/>
      <c r="T24" s="753">
        <f t="shared" si="5"/>
        <v>19735.714955357143</v>
      </c>
      <c r="U24" s="707"/>
      <c r="V24" s="711"/>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row>
    <row r="25" spans="1:54" ht="16" customHeight="1">
      <c r="A25" s="616"/>
      <c r="B25" s="710"/>
      <c r="C25" s="755" t="s">
        <v>1019</v>
      </c>
      <c r="D25" s="755">
        <v>13</v>
      </c>
      <c r="E25" s="752"/>
      <c r="F25" s="753">
        <v>19135.245535714286</v>
      </c>
      <c r="G25" s="753"/>
      <c r="H25" s="753">
        <f t="shared" si="4"/>
        <v>1420.7438839285717</v>
      </c>
      <c r="I25" s="753"/>
      <c r="J25" s="753">
        <f t="shared" si="0"/>
        <v>4956.0285937500003</v>
      </c>
      <c r="K25" s="753"/>
      <c r="L25" s="753">
        <f t="shared" si="1"/>
        <v>25512.245535714286</v>
      </c>
      <c r="M25" s="753"/>
      <c r="N25" s="754">
        <f t="shared" si="2"/>
        <v>19135.245535714286</v>
      </c>
      <c r="O25" s="753"/>
      <c r="P25" s="753"/>
      <c r="Q25" s="753"/>
      <c r="R25" s="753">
        <f t="shared" si="3"/>
        <v>1420.7438839285717</v>
      </c>
      <c r="S25" s="753"/>
      <c r="T25" s="753">
        <f t="shared" si="5"/>
        <v>20555.989419642858</v>
      </c>
      <c r="U25" s="707"/>
      <c r="V25" s="711"/>
      <c r="W25" s="616" t="s">
        <v>1244</v>
      </c>
      <c r="X25" s="616"/>
      <c r="Y25" s="616"/>
      <c r="Z25" s="616"/>
      <c r="AA25" s="616"/>
      <c r="AB25" s="616"/>
      <c r="AC25" s="616"/>
      <c r="AD25" s="616"/>
      <c r="AE25" s="616"/>
      <c r="AF25" s="616"/>
      <c r="AG25" s="616"/>
      <c r="AH25" s="616"/>
      <c r="AI25" s="616"/>
      <c r="AJ25" s="616"/>
      <c r="AK25" s="616"/>
      <c r="AL25" s="616"/>
      <c r="AM25" s="616"/>
      <c r="AN25" s="616"/>
      <c r="AO25" s="616"/>
      <c r="AP25" s="616"/>
      <c r="AQ25" s="616"/>
      <c r="AR25" s="616"/>
      <c r="AS25" s="616"/>
      <c r="AT25" s="616"/>
      <c r="AU25" s="616"/>
      <c r="AV25" s="616"/>
      <c r="AW25" s="616"/>
      <c r="AX25" s="616"/>
      <c r="AY25" s="616"/>
      <c r="AZ25" s="616"/>
      <c r="BA25" s="616"/>
      <c r="BB25" s="616"/>
    </row>
    <row r="26" spans="1:54" ht="16" customHeight="1">
      <c r="A26" s="616"/>
      <c r="B26" s="710"/>
      <c r="C26" s="755" t="s">
        <v>1011</v>
      </c>
      <c r="D26" s="755">
        <v>14</v>
      </c>
      <c r="E26" s="752"/>
      <c r="F26" s="753">
        <v>19924.821428571428</v>
      </c>
      <c r="G26" s="753"/>
      <c r="H26" s="753">
        <f t="shared" si="4"/>
        <v>1529.7053571428571</v>
      </c>
      <c r="I26" s="753"/>
      <c r="J26" s="753">
        <f>$F26*$X$14</f>
        <v>5160.5287499999995</v>
      </c>
      <c r="K26" s="753"/>
      <c r="L26" s="753">
        <f>F26+ROUND(H26,0)+ROUND(J26,0)</f>
        <v>26615.821428571428</v>
      </c>
      <c r="M26" s="753"/>
      <c r="N26" s="754">
        <f>F26</f>
        <v>19924.821428571428</v>
      </c>
      <c r="O26" s="753"/>
      <c r="P26" s="753"/>
      <c r="Q26" s="753"/>
      <c r="R26" s="753">
        <f t="shared" si="3"/>
        <v>1529.7053571428571</v>
      </c>
      <c r="S26" s="753"/>
      <c r="T26" s="753">
        <f>SUM(N26:R26)</f>
        <v>21454.526785714286</v>
      </c>
      <c r="U26" s="707"/>
      <c r="V26" s="711"/>
      <c r="W26" s="616" t="s">
        <v>1025</v>
      </c>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row>
    <row r="27" spans="1:54" ht="16" customHeight="1">
      <c r="A27" s="616"/>
      <c r="B27" s="710"/>
      <c r="C27" s="756" t="s">
        <v>1011</v>
      </c>
      <c r="D27" s="756">
        <v>15</v>
      </c>
      <c r="E27" s="757"/>
      <c r="F27" s="758">
        <v>20710.915178571428</v>
      </c>
      <c r="G27" s="758"/>
      <c r="H27" s="758">
        <f t="shared" si="4"/>
        <v>1638.1862946428571</v>
      </c>
      <c r="I27" s="758"/>
      <c r="J27" s="758">
        <f>$F27*$X$14</f>
        <v>5364.1270312500001</v>
      </c>
      <c r="K27" s="758"/>
      <c r="L27" s="758">
        <f>F27+ROUND(H27,0)+ROUND(J27,0)</f>
        <v>27712.915178571428</v>
      </c>
      <c r="M27" s="758"/>
      <c r="N27" s="759">
        <f>F27</f>
        <v>20710.915178571428</v>
      </c>
      <c r="O27" s="758"/>
      <c r="P27" s="758"/>
      <c r="Q27" s="758"/>
      <c r="R27" s="758">
        <f t="shared" si="3"/>
        <v>1638.1862946428571</v>
      </c>
      <c r="S27" s="758"/>
      <c r="T27" s="758">
        <f>SUM(N27:R27)</f>
        <v>22349.101473214283</v>
      </c>
      <c r="U27" s="707"/>
      <c r="V27" s="711"/>
      <c r="W27" s="616" t="s">
        <v>1192</v>
      </c>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row>
    <row r="28" spans="1:54" ht="16" customHeight="1">
      <c r="A28" s="616"/>
      <c r="B28" s="710"/>
      <c r="C28" s="755" t="s">
        <v>1022</v>
      </c>
      <c r="D28" s="755">
        <v>15</v>
      </c>
      <c r="E28" s="752"/>
      <c r="F28" s="753">
        <v>20710.915178571428</v>
      </c>
      <c r="G28" s="753"/>
      <c r="H28" s="753">
        <f t="shared" si="4"/>
        <v>1638.1862946428571</v>
      </c>
      <c r="I28" s="753"/>
      <c r="J28" s="753">
        <f t="shared" si="0"/>
        <v>5364.1270312500001</v>
      </c>
      <c r="K28" s="753"/>
      <c r="L28" s="753">
        <f t="shared" si="1"/>
        <v>27712.915178571428</v>
      </c>
      <c r="M28" s="753"/>
      <c r="N28" s="754">
        <f t="shared" si="2"/>
        <v>20710.915178571428</v>
      </c>
      <c r="O28" s="753"/>
      <c r="P28" s="753"/>
      <c r="Q28" s="753"/>
      <c r="R28" s="753">
        <f t="shared" si="3"/>
        <v>1638.1862946428571</v>
      </c>
      <c r="S28" s="753"/>
      <c r="T28" s="753">
        <f t="shared" si="5"/>
        <v>22349.101473214283</v>
      </c>
      <c r="U28" s="707"/>
      <c r="V28" s="711"/>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row>
    <row r="29" spans="1:54" ht="16" customHeight="1">
      <c r="A29" s="616"/>
      <c r="B29" s="710"/>
      <c r="C29" s="755" t="s">
        <v>1245</v>
      </c>
      <c r="D29" s="755">
        <v>16</v>
      </c>
      <c r="E29" s="752"/>
      <c r="F29" s="753">
        <v>21182.745535714286</v>
      </c>
      <c r="G29" s="753"/>
      <c r="H29" s="753">
        <f t="shared" si="4"/>
        <v>1703.2988839285717</v>
      </c>
      <c r="I29" s="753"/>
      <c r="J29" s="753">
        <f t="shared" si="0"/>
        <v>5486.33109375</v>
      </c>
      <c r="K29" s="753"/>
      <c r="L29" s="753">
        <f t="shared" si="1"/>
        <v>28371.745535714286</v>
      </c>
      <c r="M29" s="753"/>
      <c r="N29" s="754">
        <f t="shared" si="2"/>
        <v>21182.745535714286</v>
      </c>
      <c r="O29" s="753"/>
      <c r="P29" s="753"/>
      <c r="Q29" s="753"/>
      <c r="R29" s="753">
        <f t="shared" si="3"/>
        <v>1703.2988839285717</v>
      </c>
      <c r="S29" s="753"/>
      <c r="T29" s="753">
        <f t="shared" si="5"/>
        <v>22886.044419642858</v>
      </c>
      <c r="U29" s="707"/>
      <c r="V29" s="711"/>
      <c r="W29" s="616"/>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row>
    <row r="30" spans="1:54" ht="16" customHeight="1">
      <c r="A30" s="616"/>
      <c r="B30" s="710"/>
      <c r="C30" s="755" t="s">
        <v>1246</v>
      </c>
      <c r="D30" s="755">
        <v>17</v>
      </c>
      <c r="E30" s="752"/>
      <c r="F30" s="753">
        <v>21870.46875</v>
      </c>
      <c r="G30" s="753"/>
      <c r="H30" s="753">
        <f t="shared" si="4"/>
        <v>1798.2046875000001</v>
      </c>
      <c r="I30" s="753"/>
      <c r="J30" s="753">
        <f t="shared" si="0"/>
        <v>5664.4514062500002</v>
      </c>
      <c r="K30" s="753"/>
      <c r="L30" s="753">
        <f t="shared" si="1"/>
        <v>29332.46875</v>
      </c>
      <c r="M30" s="753"/>
      <c r="N30" s="754">
        <f t="shared" si="2"/>
        <v>21870.46875</v>
      </c>
      <c r="O30" s="753"/>
      <c r="P30" s="753"/>
      <c r="Q30" s="753"/>
      <c r="R30" s="753">
        <f t="shared" si="3"/>
        <v>1798.2046875000001</v>
      </c>
      <c r="S30" s="753"/>
      <c r="T30" s="753">
        <f t="shared" si="5"/>
        <v>23668.673437500001</v>
      </c>
      <c r="U30" s="707"/>
      <c r="V30" s="711"/>
      <c r="W30" s="616"/>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row>
    <row r="31" spans="1:54" ht="16" customHeight="1">
      <c r="A31" s="616"/>
      <c r="B31" s="710"/>
      <c r="C31" s="756" t="s">
        <v>1011</v>
      </c>
      <c r="D31" s="756">
        <v>18</v>
      </c>
      <c r="E31" s="757"/>
      <c r="F31" s="758">
        <v>22626.09375</v>
      </c>
      <c r="G31" s="758"/>
      <c r="H31" s="758">
        <f t="shared" si="4"/>
        <v>1902.4809375000002</v>
      </c>
      <c r="I31" s="758"/>
      <c r="J31" s="758">
        <f t="shared" si="0"/>
        <v>5860.1582812500001</v>
      </c>
      <c r="K31" s="758"/>
      <c r="L31" s="758">
        <f t="shared" si="1"/>
        <v>30388.09375</v>
      </c>
      <c r="M31" s="758"/>
      <c r="N31" s="759">
        <f t="shared" si="2"/>
        <v>22626.09375</v>
      </c>
      <c r="O31" s="758"/>
      <c r="P31" s="758"/>
      <c r="Q31" s="758"/>
      <c r="R31" s="758">
        <f t="shared" si="3"/>
        <v>1902.4809375000002</v>
      </c>
      <c r="S31" s="758"/>
      <c r="T31" s="758">
        <f t="shared" si="5"/>
        <v>24528.5746875</v>
      </c>
      <c r="U31" s="707"/>
      <c r="V31" s="711"/>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row>
    <row r="32" spans="1:54" ht="16" customHeight="1">
      <c r="A32" s="616"/>
      <c r="B32" s="710"/>
      <c r="C32" s="755" t="s">
        <v>1028</v>
      </c>
      <c r="D32" s="755">
        <v>18</v>
      </c>
      <c r="E32" s="752"/>
      <c r="F32" s="753">
        <v>22626.09375</v>
      </c>
      <c r="G32" s="753"/>
      <c r="H32" s="753">
        <f t="shared" si="4"/>
        <v>1902.4809375000002</v>
      </c>
      <c r="I32" s="753"/>
      <c r="J32" s="753">
        <f t="shared" si="0"/>
        <v>5860.1582812500001</v>
      </c>
      <c r="K32" s="753"/>
      <c r="L32" s="753">
        <f t="shared" si="1"/>
        <v>30388.09375</v>
      </c>
      <c r="M32" s="753"/>
      <c r="N32" s="754">
        <f t="shared" si="2"/>
        <v>22626.09375</v>
      </c>
      <c r="O32" s="753"/>
      <c r="P32" s="753"/>
      <c r="Q32" s="753"/>
      <c r="R32" s="753">
        <f t="shared" si="3"/>
        <v>1902.4809375000002</v>
      </c>
      <c r="S32" s="753"/>
      <c r="T32" s="753">
        <f t="shared" si="5"/>
        <v>24528.5746875</v>
      </c>
      <c r="U32" s="707"/>
      <c r="V32" s="711"/>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row>
    <row r="33" spans="1:54" ht="16" customHeight="1">
      <c r="A33" s="616"/>
      <c r="B33" s="710"/>
      <c r="C33" s="755" t="s">
        <v>1029</v>
      </c>
      <c r="D33" s="755">
        <v>19</v>
      </c>
      <c r="E33" s="752"/>
      <c r="F33" s="753">
        <v>23317.299107142859</v>
      </c>
      <c r="G33" s="753"/>
      <c r="H33" s="753">
        <f t="shared" si="4"/>
        <v>1997.8672767857147</v>
      </c>
      <c r="I33" s="753"/>
      <c r="J33" s="753">
        <f t="shared" si="0"/>
        <v>6039.1804687500007</v>
      </c>
      <c r="K33" s="753"/>
      <c r="L33" s="753">
        <f t="shared" si="1"/>
        <v>31354.299107142859</v>
      </c>
      <c r="M33" s="753"/>
      <c r="N33" s="754">
        <f>F33</f>
        <v>23317.299107142859</v>
      </c>
      <c r="O33" s="753"/>
      <c r="P33" s="753"/>
      <c r="Q33" s="753"/>
      <c r="R33" s="753">
        <f t="shared" si="3"/>
        <v>1997.8672767857147</v>
      </c>
      <c r="S33" s="753"/>
      <c r="T33" s="753">
        <f>SUM(N33:R33)</f>
        <v>25315.166383928572</v>
      </c>
      <c r="U33" s="707"/>
      <c r="V33" s="711"/>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row>
    <row r="34" spans="1:54" ht="16" customHeight="1">
      <c r="A34" s="616"/>
      <c r="B34" s="710"/>
      <c r="C34" s="755" t="s">
        <v>1247</v>
      </c>
      <c r="D34" s="755">
        <v>20</v>
      </c>
      <c r="E34" s="752"/>
      <c r="F34" s="753">
        <v>24139.084821428572</v>
      </c>
      <c r="G34" s="753"/>
      <c r="H34" s="753">
        <f t="shared" si="4"/>
        <v>2111.2737053571432</v>
      </c>
      <c r="I34" s="753"/>
      <c r="J34" s="753">
        <f t="shared" si="0"/>
        <v>6252.0229687500005</v>
      </c>
      <c r="K34" s="753"/>
      <c r="L34" s="753">
        <f t="shared" si="1"/>
        <v>32502.084821428572</v>
      </c>
      <c r="M34" s="753"/>
      <c r="N34" s="754">
        <f>F34</f>
        <v>24139.084821428572</v>
      </c>
      <c r="O34" s="753"/>
      <c r="P34" s="753"/>
      <c r="Q34" s="753"/>
      <c r="R34" s="753">
        <f t="shared" si="3"/>
        <v>2111.2737053571432</v>
      </c>
      <c r="S34" s="753"/>
      <c r="T34" s="753">
        <f>SUM(N34:R34)</f>
        <v>26250.358526785716</v>
      </c>
      <c r="U34" s="707"/>
      <c r="V34" s="711"/>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row>
    <row r="35" spans="1:54" ht="16" customHeight="1">
      <c r="A35" s="616"/>
      <c r="B35" s="710"/>
      <c r="C35" s="756" t="s">
        <v>1011</v>
      </c>
      <c r="D35" s="756">
        <v>21</v>
      </c>
      <c r="E35" s="757"/>
      <c r="F35" s="758">
        <v>24960</v>
      </c>
      <c r="G35" s="758"/>
      <c r="H35" s="758">
        <f t="shared" si="4"/>
        <v>2224.5600000000004</v>
      </c>
      <c r="I35" s="758"/>
      <c r="J35" s="758">
        <f t="shared" si="0"/>
        <v>6464.64</v>
      </c>
      <c r="K35" s="758"/>
      <c r="L35" s="758">
        <f t="shared" si="1"/>
        <v>33650</v>
      </c>
      <c r="M35" s="758"/>
      <c r="N35" s="759">
        <f>F35</f>
        <v>24960</v>
      </c>
      <c r="O35" s="758"/>
      <c r="P35" s="758"/>
      <c r="Q35" s="758"/>
      <c r="R35" s="758">
        <f t="shared" si="3"/>
        <v>2224.5600000000004</v>
      </c>
      <c r="S35" s="758"/>
      <c r="T35" s="758">
        <f>SUM(N35:R35)</f>
        <v>27184.560000000001</v>
      </c>
      <c r="U35" s="707"/>
      <c r="V35" s="711"/>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row>
    <row r="36" spans="1:54" ht="16" customHeight="1">
      <c r="A36" s="616"/>
      <c r="B36" s="710"/>
      <c r="C36" s="755" t="s">
        <v>1031</v>
      </c>
      <c r="D36" s="755">
        <v>21</v>
      </c>
      <c r="E36" s="752"/>
      <c r="F36" s="753">
        <v>25298.823529411766</v>
      </c>
      <c r="G36" s="753"/>
      <c r="H36" s="753">
        <f t="shared" si="4"/>
        <v>2271.3176470588237</v>
      </c>
      <c r="I36" s="753"/>
      <c r="J36" s="753">
        <f t="shared" si="0"/>
        <v>6552.3952941176476</v>
      </c>
      <c r="K36" s="753"/>
      <c r="L36" s="753">
        <f t="shared" si="1"/>
        <v>34121.823529411762</v>
      </c>
      <c r="M36" s="753"/>
      <c r="N36" s="754">
        <f t="shared" si="2"/>
        <v>25298.823529411766</v>
      </c>
      <c r="O36" s="753"/>
      <c r="P36" s="753"/>
      <c r="Q36" s="753"/>
      <c r="R36" s="753">
        <f t="shared" si="3"/>
        <v>2271.3176470588237</v>
      </c>
      <c r="S36" s="753"/>
      <c r="T36" s="753">
        <f t="shared" si="5"/>
        <v>27570.141176470588</v>
      </c>
      <c r="U36" s="707"/>
      <c r="V36" s="711"/>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row>
    <row r="37" spans="1:54" ht="16" customHeight="1">
      <c r="A37" s="616"/>
      <c r="B37" s="710"/>
      <c r="C37" s="755" t="s">
        <v>1032</v>
      </c>
      <c r="D37" s="755">
        <v>22</v>
      </c>
      <c r="E37" s="752"/>
      <c r="F37" s="753">
        <v>26400</v>
      </c>
      <c r="G37" s="753"/>
      <c r="H37" s="753">
        <f t="shared" si="4"/>
        <v>2423.2800000000002</v>
      </c>
      <c r="I37" s="753"/>
      <c r="J37" s="753">
        <f t="shared" si="0"/>
        <v>6837.6</v>
      </c>
      <c r="K37" s="753"/>
      <c r="L37" s="753">
        <f t="shared" si="1"/>
        <v>35661</v>
      </c>
      <c r="M37" s="753"/>
      <c r="N37" s="754">
        <f t="shared" si="2"/>
        <v>26400</v>
      </c>
      <c r="O37" s="753"/>
      <c r="P37" s="753"/>
      <c r="Q37" s="753"/>
      <c r="R37" s="753">
        <f t="shared" si="3"/>
        <v>2423.2800000000002</v>
      </c>
      <c r="S37" s="753"/>
      <c r="T37" s="753">
        <f t="shared" si="5"/>
        <v>28823.279999999999</v>
      </c>
      <c r="U37" s="707"/>
      <c r="V37" s="711"/>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row>
    <row r="38" spans="1:54" ht="16" customHeight="1">
      <c r="A38" s="616"/>
      <c r="B38" s="710"/>
      <c r="C38" s="755" t="s">
        <v>1248</v>
      </c>
      <c r="D38" s="755">
        <v>23</v>
      </c>
      <c r="E38" s="752"/>
      <c r="F38" s="753">
        <v>27399.705882352941</v>
      </c>
      <c r="G38" s="753"/>
      <c r="H38" s="753">
        <f t="shared" si="4"/>
        <v>2561.2394117647059</v>
      </c>
      <c r="I38" s="753"/>
      <c r="J38" s="753">
        <f t="shared" si="0"/>
        <v>7096.5238235294119</v>
      </c>
      <c r="K38" s="753"/>
      <c r="L38" s="753">
        <f t="shared" si="1"/>
        <v>37057.705882352937</v>
      </c>
      <c r="M38" s="753"/>
      <c r="N38" s="754">
        <f t="shared" si="2"/>
        <v>27399.705882352941</v>
      </c>
      <c r="O38" s="753"/>
      <c r="P38" s="753"/>
      <c r="Q38" s="753"/>
      <c r="R38" s="753">
        <f t="shared" si="3"/>
        <v>2561.2394117647059</v>
      </c>
      <c r="S38" s="753"/>
      <c r="T38" s="753">
        <f t="shared" si="5"/>
        <v>29960.945294117646</v>
      </c>
      <c r="U38" s="707"/>
      <c r="V38" s="711"/>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row>
    <row r="39" spans="1:54" ht="16" customHeight="1">
      <c r="A39" s="616"/>
      <c r="B39" s="710"/>
      <c r="C39" s="755" t="s">
        <v>1011</v>
      </c>
      <c r="D39" s="755">
        <v>24</v>
      </c>
      <c r="E39" s="752"/>
      <c r="F39" s="753">
        <v>28441.764705882353</v>
      </c>
      <c r="G39" s="753"/>
      <c r="H39" s="753">
        <f t="shared" si="4"/>
        <v>2705.0435294117651</v>
      </c>
      <c r="I39" s="753"/>
      <c r="J39" s="753">
        <f t="shared" si="0"/>
        <v>7366.4170588235293</v>
      </c>
      <c r="K39" s="753"/>
      <c r="L39" s="753">
        <f t="shared" si="1"/>
        <v>38512.76470588235</v>
      </c>
      <c r="M39" s="753"/>
      <c r="N39" s="754">
        <f>F39</f>
        <v>28441.764705882353</v>
      </c>
      <c r="O39" s="753"/>
      <c r="P39" s="753"/>
      <c r="Q39" s="753"/>
      <c r="R39" s="753">
        <f t="shared" si="3"/>
        <v>2705.0435294117651</v>
      </c>
      <c r="S39" s="753"/>
      <c r="T39" s="753">
        <f>SUM(N39:R39)</f>
        <v>31146.80823529412</v>
      </c>
      <c r="U39" s="707"/>
      <c r="V39" s="711"/>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row>
    <row r="40" spans="1:54" ht="16" customHeight="1" thickBot="1">
      <c r="A40" s="616"/>
      <c r="B40" s="717"/>
      <c r="C40" s="718"/>
      <c r="D40" s="718"/>
      <c r="E40" s="719"/>
      <c r="F40" s="720"/>
      <c r="G40" s="720"/>
      <c r="H40" s="720"/>
      <c r="I40" s="720"/>
      <c r="J40" s="720"/>
      <c r="K40" s="720"/>
      <c r="L40" s="720"/>
      <c r="M40" s="720"/>
      <c r="N40" s="721"/>
      <c r="O40" s="720"/>
      <c r="P40" s="720"/>
      <c r="Q40" s="720"/>
      <c r="R40" s="720"/>
      <c r="S40" s="720"/>
      <c r="T40" s="720"/>
      <c r="U40" s="722"/>
      <c r="V40" s="711"/>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row>
    <row r="41" spans="1:54" ht="16" customHeight="1">
      <c r="A41" s="616"/>
      <c r="B41" s="616"/>
      <c r="C41" s="616"/>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row>
    <row r="42" spans="1:54">
      <c r="A42" s="616"/>
      <c r="B42" s="616"/>
      <c r="C42" s="616"/>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row>
    <row r="43" spans="1:54">
      <c r="A43" s="616"/>
      <c r="B43" s="616"/>
      <c r="C43" s="760"/>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row>
    <row r="44" spans="1:54">
      <c r="A44" s="616"/>
      <c r="B44" s="616"/>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row>
    <row r="45" spans="1:54">
      <c r="A45" s="616"/>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row>
    <row r="46" spans="1:54">
      <c r="A46" s="616"/>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6"/>
      <c r="AA46" s="616"/>
      <c r="AB46" s="616"/>
      <c r="AC46" s="616"/>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row>
    <row r="47" spans="1:54">
      <c r="A47" s="616"/>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row>
    <row r="48" spans="1:54">
      <c r="A48" s="616"/>
      <c r="B48" s="616"/>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row>
    <row r="49" spans="1:54">
      <c r="A49" s="616"/>
      <c r="B49" s="616"/>
      <c r="C49" s="616"/>
      <c r="D49" s="616"/>
      <c r="E49" s="616"/>
      <c r="F49" s="616"/>
      <c r="G49" s="616"/>
      <c r="H49" s="616"/>
      <c r="I49" s="616"/>
      <c r="J49" s="616"/>
      <c r="K49" s="616"/>
      <c r="L49" s="616"/>
      <c r="M49" s="616"/>
      <c r="N49" s="616"/>
      <c r="O49" s="616"/>
      <c r="P49" s="616"/>
      <c r="Q49" s="616"/>
      <c r="R49" s="616"/>
      <c r="S49" s="616"/>
      <c r="T49" s="616"/>
      <c r="U49" s="616"/>
      <c r="V49" s="616"/>
      <c r="W49" s="616"/>
      <c r="X49" s="616"/>
      <c r="Y49" s="616"/>
      <c r="Z49" s="616"/>
      <c r="AA49" s="616"/>
      <c r="AB49" s="616"/>
      <c r="AC49" s="616"/>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row>
    <row r="50" spans="1:54">
      <c r="A50" s="616"/>
      <c r="B50" s="616"/>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row>
    <row r="51" spans="1:54">
      <c r="A51" s="616"/>
      <c r="B51" s="616"/>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6"/>
      <c r="AC51" s="616"/>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row>
    <row r="52" spans="1:54">
      <c r="A52" s="616"/>
      <c r="B52" s="616"/>
      <c r="C52" s="616"/>
      <c r="D52" s="616"/>
      <c r="E52" s="616"/>
      <c r="F52" s="616"/>
      <c r="G52" s="616"/>
      <c r="H52" s="616"/>
      <c r="I52" s="616"/>
      <c r="J52" s="616"/>
      <c r="K52" s="616"/>
      <c r="L52" s="616"/>
      <c r="M52" s="616"/>
      <c r="N52" s="616"/>
      <c r="O52" s="616"/>
      <c r="P52" s="616"/>
      <c r="Q52" s="616"/>
      <c r="R52" s="616"/>
      <c r="S52" s="616"/>
      <c r="T52" s="616"/>
      <c r="U52" s="616"/>
      <c r="V52" s="616"/>
      <c r="W52" s="616"/>
      <c r="X52" s="616"/>
      <c r="Y52" s="616"/>
      <c r="Z52" s="616"/>
      <c r="AA52" s="616"/>
      <c r="AB52" s="616"/>
      <c r="AC52" s="616"/>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row>
    <row r="53" spans="1:54">
      <c r="A53" s="616"/>
      <c r="B53" s="616"/>
      <c r="C53" s="616"/>
      <c r="D53" s="616"/>
      <c r="E53" s="616"/>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row>
    <row r="54" spans="1:54">
      <c r="A54" s="616"/>
      <c r="B54" s="616"/>
      <c r="C54" s="616"/>
      <c r="D54" s="616"/>
      <c r="E54" s="616"/>
      <c r="F54" s="616"/>
      <c r="G54" s="616"/>
      <c r="H54" s="616"/>
      <c r="I54" s="616"/>
      <c r="J54" s="616"/>
      <c r="K54" s="616"/>
      <c r="L54" s="616"/>
      <c r="M54" s="616"/>
      <c r="N54" s="616"/>
      <c r="O54" s="616"/>
      <c r="P54" s="616"/>
      <c r="Q54" s="616"/>
      <c r="R54" s="616"/>
      <c r="S54" s="616"/>
      <c r="T54" s="616"/>
      <c r="U54" s="616"/>
      <c r="V54" s="616"/>
      <c r="W54" s="616"/>
      <c r="X54" s="616"/>
      <c r="Y54" s="616"/>
      <c r="Z54" s="616"/>
      <c r="AA54" s="616"/>
      <c r="AB54" s="616"/>
      <c r="AC54" s="616"/>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row>
    <row r="55" spans="1:54">
      <c r="A55" s="616"/>
      <c r="B55" s="616"/>
      <c r="C55" s="616"/>
      <c r="D55" s="616"/>
      <c r="E55" s="616"/>
      <c r="F55" s="616"/>
      <c r="G55" s="616"/>
      <c r="H55" s="616"/>
      <c r="I55" s="616"/>
      <c r="J55" s="616"/>
      <c r="K55" s="616"/>
      <c r="L55" s="616"/>
      <c r="M55" s="616"/>
      <c r="N55" s="616"/>
      <c r="O55" s="616"/>
      <c r="P55" s="616"/>
      <c r="Q55" s="616"/>
      <c r="R55" s="616"/>
      <c r="S55" s="616"/>
      <c r="T55" s="616"/>
      <c r="U55" s="616"/>
      <c r="V55" s="616"/>
      <c r="W55" s="616"/>
      <c r="X55" s="616"/>
      <c r="Y55" s="616"/>
      <c r="Z55" s="616"/>
      <c r="AA55" s="616"/>
      <c r="AB55" s="616"/>
      <c r="AC55" s="616"/>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row>
    <row r="56" spans="1:54">
      <c r="A56" s="616"/>
      <c r="B56" s="616"/>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row>
    <row r="57" spans="1:54">
      <c r="A57" s="616"/>
      <c r="B57" s="616"/>
      <c r="C57" s="616"/>
      <c r="D57" s="616"/>
      <c r="E57" s="616"/>
      <c r="F57" s="616"/>
      <c r="G57" s="616"/>
      <c r="H57" s="616"/>
      <c r="I57" s="616"/>
      <c r="J57" s="616"/>
      <c r="K57" s="616"/>
      <c r="L57" s="616"/>
      <c r="M57" s="616"/>
      <c r="N57" s="616"/>
      <c r="O57" s="616"/>
      <c r="P57" s="616"/>
      <c r="Q57" s="616"/>
      <c r="R57" s="616"/>
      <c r="S57" s="616"/>
      <c r="T57" s="616"/>
      <c r="U57" s="616"/>
      <c r="V57" s="616"/>
      <c r="W57" s="616"/>
      <c r="X57" s="616"/>
      <c r="Y57" s="616"/>
      <c r="Z57" s="616"/>
      <c r="AA57" s="616"/>
      <c r="AB57" s="616"/>
      <c r="AC57" s="616"/>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row>
    <row r="58" spans="1:54">
      <c r="A58" s="616"/>
      <c r="B58" s="616"/>
      <c r="C58" s="616"/>
      <c r="D58" s="616"/>
      <c r="E58" s="616"/>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row>
    <row r="59" spans="1:54">
      <c r="A59" s="616"/>
      <c r="B59" s="616"/>
      <c r="C59" s="616"/>
      <c r="D59" s="616"/>
      <c r="E59" s="616"/>
      <c r="F59" s="616"/>
      <c r="G59" s="616"/>
      <c r="H59" s="616"/>
      <c r="I59" s="616"/>
      <c r="J59" s="616"/>
      <c r="K59" s="616"/>
      <c r="L59" s="616"/>
      <c r="M59" s="616"/>
      <c r="N59" s="616"/>
      <c r="O59" s="616"/>
      <c r="P59" s="616"/>
      <c r="Q59" s="616"/>
      <c r="R59" s="616"/>
      <c r="S59" s="616"/>
      <c r="T59" s="616"/>
      <c r="U59" s="616"/>
      <c r="V59" s="616"/>
      <c r="W59" s="616"/>
      <c r="X59" s="616"/>
      <c r="Y59" s="616"/>
      <c r="Z59" s="616"/>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row>
    <row r="60" spans="1:54">
      <c r="A60" s="616"/>
      <c r="B60" s="616"/>
      <c r="C60" s="616"/>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16"/>
      <c r="AB60" s="616"/>
      <c r="AC60" s="616"/>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row>
    <row r="61" spans="1:54">
      <c r="A61" s="616"/>
      <c r="B61" s="616"/>
      <c r="C61" s="616"/>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c r="AB61" s="616"/>
      <c r="AC61" s="616"/>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row>
    <row r="62" spans="1:54">
      <c r="A62" s="616"/>
      <c r="B62" s="616"/>
      <c r="C62" s="616"/>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row>
    <row r="63" spans="1:54">
      <c r="A63" s="616"/>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c r="AB63" s="616"/>
      <c r="AC63" s="616"/>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row>
    <row r="64" spans="1:54">
      <c r="A64" s="616"/>
      <c r="B64" s="616"/>
      <c r="C64" s="616"/>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row>
  </sheetData>
  <mergeCells count="1">
    <mergeCell ref="C9:D9"/>
  </mergeCells>
  <pageMargins left="0.35433070866141736" right="0.35433070866141736" top="0.98425196850393704" bottom="0.98425196850393704" header="0.51181102362204722" footer="0.51181102362204722"/>
  <pageSetup paperSize="9" scale="74" orientation="portrait" horizontalDpi="1200" verticalDpi="12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BG70"/>
  <sheetViews>
    <sheetView topLeftCell="A10" workbookViewId="0">
      <selection activeCell="F22" sqref="F22"/>
    </sheetView>
  </sheetViews>
  <sheetFormatPr defaultColWidth="7.5" defaultRowHeight="15.5"/>
  <cols>
    <col min="1" max="1" width="8.25" style="7" customWidth="1"/>
    <col min="2" max="2" width="4.25" style="7" customWidth="1"/>
    <col min="3" max="3" width="14.5" style="7" customWidth="1"/>
    <col min="4" max="4" width="7.33203125" style="7" customWidth="1"/>
    <col min="5" max="5" width="6.5" style="7" customWidth="1"/>
    <col min="6" max="6" width="9.08203125" style="7" customWidth="1"/>
    <col min="7" max="7" width="2.75" style="7" customWidth="1"/>
    <col min="8" max="8" width="7.5" style="7" bestFit="1" customWidth="1"/>
    <col min="9" max="9" width="2.75" style="7" customWidth="1"/>
    <col min="10" max="10" width="8.08203125" style="7" bestFit="1" customWidth="1"/>
    <col min="11" max="11" width="2.75" style="7" customWidth="1"/>
    <col min="12" max="12" width="11.08203125" style="7" bestFit="1" customWidth="1"/>
    <col min="13" max="13" width="2.75" style="7" customWidth="1"/>
    <col min="14" max="14" width="9.25" style="7" customWidth="1"/>
    <col min="15" max="17" width="2.75" style="7" customWidth="1"/>
    <col min="18" max="18" width="7.33203125" style="7" customWidth="1"/>
    <col min="19" max="19" width="2.75" style="7" customWidth="1"/>
    <col min="20" max="20" width="10" style="7" customWidth="1"/>
    <col min="21" max="21" width="2.75" style="7" customWidth="1"/>
    <col min="22" max="22" width="18" style="7" customWidth="1"/>
    <col min="23" max="25" width="8.58203125" style="7" customWidth="1"/>
    <col min="26" max="16384" width="7.5" style="7"/>
  </cols>
  <sheetData>
    <row r="1" spans="1:59" s="8" customFormat="1" ht="21.5" thickTop="1">
      <c r="A1" s="146"/>
      <c r="B1" s="147" t="s">
        <v>979</v>
      </c>
      <c r="C1" s="10"/>
      <c r="D1" s="10"/>
      <c r="E1" s="10"/>
      <c r="F1" s="10"/>
      <c r="G1" s="148"/>
      <c r="H1" s="10"/>
      <c r="I1" s="10"/>
      <c r="J1" s="10"/>
      <c r="K1" s="10"/>
      <c r="L1" s="10"/>
      <c r="M1" s="10"/>
      <c r="N1" s="10"/>
      <c r="O1" s="10"/>
      <c r="P1" s="10"/>
      <c r="Q1" s="10"/>
      <c r="R1" s="10"/>
      <c r="S1" s="10"/>
      <c r="T1" s="10"/>
      <c r="U1" s="149"/>
      <c r="V1" s="146"/>
      <c r="W1" s="150"/>
      <c r="X1" s="146"/>
      <c r="Y1" s="146"/>
      <c r="Z1" s="146"/>
      <c r="AA1" s="146"/>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row>
    <row r="2" spans="1:59" s="8" customFormat="1" ht="21.5" thickBot="1">
      <c r="A2" s="152" t="s">
        <v>980</v>
      </c>
      <c r="B2" s="153" t="s">
        <v>1249</v>
      </c>
      <c r="C2" s="154"/>
      <c r="D2" s="154"/>
      <c r="E2" s="154"/>
      <c r="F2" s="154"/>
      <c r="G2" s="155"/>
      <c r="H2" s="154"/>
      <c r="I2" s="154"/>
      <c r="J2" s="154"/>
      <c r="K2" s="154"/>
      <c r="L2" s="154"/>
      <c r="M2" s="154"/>
      <c r="N2" s="154"/>
      <c r="O2" s="154"/>
      <c r="P2" s="154"/>
      <c r="Q2" s="154"/>
      <c r="R2" s="154"/>
      <c r="S2" s="154"/>
      <c r="T2" s="154"/>
      <c r="U2" s="156"/>
      <c r="V2" s="146"/>
      <c r="W2" s="150"/>
      <c r="X2" s="146"/>
      <c r="Y2" s="146"/>
      <c r="Z2" s="146"/>
      <c r="AA2" s="146"/>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row>
    <row r="3" spans="1:59" s="8" customFormat="1" ht="21.75" customHeight="1">
      <c r="A3" s="152" t="s">
        <v>982</v>
      </c>
      <c r="B3" s="157" t="s">
        <v>983</v>
      </c>
      <c r="C3" s="158"/>
      <c r="D3" s="158"/>
      <c r="E3" s="158"/>
      <c r="F3" s="158"/>
      <c r="G3" s="159"/>
      <c r="H3" s="158"/>
      <c r="I3" s="158"/>
      <c r="J3" s="158"/>
      <c r="K3" s="158"/>
      <c r="L3" s="158"/>
      <c r="M3" s="158"/>
      <c r="N3" s="158"/>
      <c r="O3" s="158"/>
      <c r="P3" s="158"/>
      <c r="Q3" s="158"/>
      <c r="R3" s="158"/>
      <c r="S3" s="158"/>
      <c r="T3" s="158"/>
      <c r="U3" s="160"/>
      <c r="V3" s="146"/>
      <c r="W3" s="150"/>
      <c r="X3" s="146"/>
      <c r="Y3" s="146"/>
      <c r="Z3" s="146"/>
      <c r="AA3" s="146"/>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row>
    <row r="4" spans="1:59" s="8" customFormat="1" ht="21.75" customHeight="1">
      <c r="A4" s="152"/>
      <c r="B4" s="161"/>
      <c r="C4" s="34"/>
      <c r="D4" s="34"/>
      <c r="E4" s="34"/>
      <c r="F4" s="34"/>
      <c r="G4" s="35"/>
      <c r="H4" s="34"/>
      <c r="I4" s="34"/>
      <c r="J4" s="34"/>
      <c r="K4" s="34"/>
      <c r="L4" s="34"/>
      <c r="M4" s="34"/>
      <c r="N4" s="34"/>
      <c r="O4" s="34"/>
      <c r="P4" s="34"/>
      <c r="Q4" s="34"/>
      <c r="R4" s="34"/>
      <c r="S4" s="34"/>
      <c r="T4" s="34"/>
      <c r="U4" s="162"/>
      <c r="V4" s="146"/>
      <c r="W4" s="150"/>
      <c r="X4" s="146"/>
      <c r="Y4" s="146"/>
      <c r="Z4" s="146"/>
      <c r="AA4" s="146"/>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row>
    <row r="5" spans="1:59" s="8" customFormat="1" ht="21.75" customHeight="1">
      <c r="A5" s="152"/>
      <c r="B5" s="163" t="s">
        <v>1250</v>
      </c>
      <c r="C5" s="34"/>
      <c r="D5" s="34"/>
      <c r="E5" s="34"/>
      <c r="F5" s="34"/>
      <c r="G5" s="35"/>
      <c r="H5" s="34"/>
      <c r="I5" s="34"/>
      <c r="J5" s="34"/>
      <c r="K5" s="34"/>
      <c r="L5" s="34"/>
      <c r="M5" s="34"/>
      <c r="N5" s="34"/>
      <c r="O5" s="34"/>
      <c r="P5" s="34"/>
      <c r="Q5" s="34"/>
      <c r="R5" s="34"/>
      <c r="S5" s="34"/>
      <c r="T5" s="34"/>
      <c r="U5" s="162"/>
      <c r="V5" s="146" t="s">
        <v>985</v>
      </c>
      <c r="W5" s="150"/>
      <c r="X5" s="146"/>
      <c r="Y5" s="146"/>
      <c r="Z5" s="146"/>
      <c r="AA5" s="146"/>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row>
    <row r="6" spans="1:59" s="8" customFormat="1" ht="21.75" customHeight="1">
      <c r="A6" s="152"/>
      <c r="B6" s="163" t="s">
        <v>1251</v>
      </c>
      <c r="C6" s="164"/>
      <c r="D6" s="164"/>
      <c r="E6" s="164"/>
      <c r="F6" s="164"/>
      <c r="G6" s="164"/>
      <c r="H6" s="164"/>
      <c r="I6" s="164"/>
      <c r="J6" s="164"/>
      <c r="K6" s="164"/>
      <c r="L6" s="164"/>
      <c r="M6" s="164"/>
      <c r="N6" s="164"/>
      <c r="O6" s="164"/>
      <c r="P6" s="164"/>
      <c r="Q6" s="164"/>
      <c r="R6" s="164"/>
      <c r="S6" s="164"/>
      <c r="T6" s="164"/>
      <c r="U6" s="165"/>
      <c r="V6" s="146"/>
      <c r="W6" s="146"/>
      <c r="X6" s="146"/>
      <c r="Y6" s="146"/>
      <c r="Z6" s="146"/>
      <c r="AA6" s="146"/>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row>
    <row r="7" spans="1:59" s="8" customFormat="1" ht="21.75" customHeight="1">
      <c r="A7" s="152"/>
      <c r="B7" s="163" t="s">
        <v>1252</v>
      </c>
      <c r="C7" s="164"/>
      <c r="D7" s="164"/>
      <c r="E7" s="164"/>
      <c r="F7" s="164"/>
      <c r="G7" s="164"/>
      <c r="H7" s="164"/>
      <c r="I7" s="164"/>
      <c r="J7" s="164"/>
      <c r="K7" s="164"/>
      <c r="L7" s="164"/>
      <c r="M7" s="164"/>
      <c r="N7" s="164"/>
      <c r="O7" s="164"/>
      <c r="P7" s="164"/>
      <c r="Q7" s="164"/>
      <c r="R7" s="164"/>
      <c r="S7" s="164"/>
      <c r="T7" s="164"/>
      <c r="U7" s="165"/>
      <c r="V7" s="146"/>
      <c r="W7" s="166"/>
      <c r="X7" s="166"/>
      <c r="Y7" s="166"/>
      <c r="Z7" s="146"/>
      <c r="AA7" s="146"/>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row>
    <row r="8" spans="1:59" s="8" customFormat="1" ht="21.75" customHeight="1" thickBot="1">
      <c r="A8" s="152"/>
      <c r="B8" s="167" t="s">
        <v>988</v>
      </c>
      <c r="C8" s="168"/>
      <c r="D8" s="168"/>
      <c r="E8" s="168"/>
      <c r="F8" s="168"/>
      <c r="G8" s="168"/>
      <c r="H8" s="168"/>
      <c r="I8" s="168"/>
      <c r="J8" s="168"/>
      <c r="K8" s="168"/>
      <c r="L8" s="168"/>
      <c r="M8" s="168"/>
      <c r="N8" s="168"/>
      <c r="O8" s="168"/>
      <c r="P8" s="168"/>
      <c r="Q8" s="168"/>
      <c r="R8" s="168"/>
      <c r="S8" s="168"/>
      <c r="T8" s="168"/>
      <c r="U8" s="169"/>
      <c r="V8" s="146"/>
      <c r="W8" s="166"/>
      <c r="X8" s="166"/>
      <c r="Y8" s="166"/>
      <c r="Z8" s="146"/>
      <c r="AA8" s="146"/>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row>
    <row r="9" spans="1:59" s="8" customFormat="1" ht="21.75" customHeight="1">
      <c r="A9" s="152" t="s">
        <v>989</v>
      </c>
      <c r="B9" s="170"/>
      <c r="C9" s="1180" t="s">
        <v>990</v>
      </c>
      <c r="D9" s="1180"/>
      <c r="E9" s="171"/>
      <c r="F9" s="172" t="s">
        <v>1253</v>
      </c>
      <c r="G9" s="171"/>
      <c r="H9" s="171"/>
      <c r="I9" s="171"/>
      <c r="J9" s="171"/>
      <c r="K9" s="171"/>
      <c r="L9" s="171"/>
      <c r="M9" s="171"/>
      <c r="N9" s="171"/>
      <c r="O9" s="173" t="s">
        <v>1254</v>
      </c>
      <c r="P9" s="174"/>
      <c r="Q9" s="174"/>
      <c r="R9" s="175"/>
      <c r="S9" s="175"/>
      <c r="T9" s="175"/>
      <c r="U9" s="176"/>
      <c r="V9" s="152" t="s">
        <v>993</v>
      </c>
      <c r="W9" s="177" t="s">
        <v>994</v>
      </c>
      <c r="X9" s="178">
        <v>1</v>
      </c>
      <c r="Y9" s="179">
        <v>2</v>
      </c>
      <c r="Z9" s="146"/>
      <c r="AA9" s="146"/>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row>
    <row r="10" spans="1:59" s="9" customFormat="1">
      <c r="A10" s="180"/>
      <c r="B10" s="181"/>
      <c r="C10" s="182">
        <f>$W$10</f>
        <v>0</v>
      </c>
      <c r="D10" s="182">
        <f>W12</f>
        <v>8788</v>
      </c>
      <c r="E10" s="182"/>
      <c r="F10" s="183" t="s">
        <v>995</v>
      </c>
      <c r="G10" s="182"/>
      <c r="H10" s="182"/>
      <c r="I10" s="182"/>
      <c r="J10" s="182"/>
      <c r="K10" s="182"/>
      <c r="L10" s="182"/>
      <c r="M10" s="182"/>
      <c r="N10" s="182"/>
      <c r="O10" s="182"/>
      <c r="P10" s="182"/>
      <c r="Q10" s="182"/>
      <c r="R10" s="182"/>
      <c r="S10" s="182"/>
      <c r="T10" s="182"/>
      <c r="U10" s="184"/>
      <c r="V10" s="185"/>
      <c r="W10" s="181">
        <v>0</v>
      </c>
      <c r="X10" s="182">
        <v>0</v>
      </c>
      <c r="Y10" s="184">
        <v>0</v>
      </c>
      <c r="Z10" s="185"/>
      <c r="AA10" s="185"/>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row>
    <row r="11" spans="1:59" s="9" customFormat="1">
      <c r="A11" s="180"/>
      <c r="B11" s="181"/>
      <c r="C11" s="182">
        <f>W12</f>
        <v>8788</v>
      </c>
      <c r="D11" s="182" t="s">
        <v>996</v>
      </c>
      <c r="E11" s="182"/>
      <c r="F11" s="183" t="s">
        <v>997</v>
      </c>
      <c r="G11" s="182"/>
      <c r="H11" s="187">
        <f>$Y$12*100</f>
        <v>13.8</v>
      </c>
      <c r="I11" s="187" t="s">
        <v>998</v>
      </c>
      <c r="J11" s="182"/>
      <c r="K11" s="182"/>
      <c r="L11" s="187"/>
      <c r="M11" s="188"/>
      <c r="N11" s="182"/>
      <c r="O11" s="182"/>
      <c r="P11" s="182"/>
      <c r="Q11" s="182"/>
      <c r="R11" s="189"/>
      <c r="S11" s="182"/>
      <c r="T11" s="190"/>
      <c r="U11" s="191"/>
      <c r="V11" s="192" t="s">
        <v>999</v>
      </c>
      <c r="W11" s="181">
        <v>6240</v>
      </c>
      <c r="X11" s="193">
        <v>0</v>
      </c>
      <c r="Y11" s="194"/>
      <c r="Z11" s="185"/>
      <c r="AA11" s="185"/>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row>
    <row r="12" spans="1:59" s="9" customFormat="1" ht="16" thickBot="1">
      <c r="A12" s="180"/>
      <c r="B12" s="195"/>
      <c r="C12" s="196"/>
      <c r="D12" s="196"/>
      <c r="E12" s="196"/>
      <c r="F12" s="196"/>
      <c r="G12" s="197"/>
      <c r="H12" s="198"/>
      <c r="I12" s="197"/>
      <c r="J12" s="196"/>
      <c r="K12" s="199"/>
      <c r="L12" s="200"/>
      <c r="M12" s="199"/>
      <c r="N12" s="196"/>
      <c r="O12" s="196"/>
      <c r="P12" s="201"/>
      <c r="Q12" s="196"/>
      <c r="R12" s="202"/>
      <c r="S12" s="196"/>
      <c r="T12" s="196"/>
      <c r="U12" s="203"/>
      <c r="V12" s="192" t="s">
        <v>1000</v>
      </c>
      <c r="W12" s="181">
        <v>8788</v>
      </c>
      <c r="X12" s="193">
        <v>0</v>
      </c>
      <c r="Y12" s="194">
        <v>0.13800000000000001</v>
      </c>
      <c r="Z12" s="185"/>
      <c r="AA12" s="185"/>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row>
    <row r="13" spans="1:59" s="9" customFormat="1" ht="17" thickBot="1">
      <c r="A13" s="152"/>
      <c r="B13" s="204"/>
      <c r="C13" s="205"/>
      <c r="D13" s="205"/>
      <c r="E13" s="206"/>
      <c r="F13" s="205"/>
      <c r="G13" s="206"/>
      <c r="H13" s="205"/>
      <c r="I13" s="206"/>
      <c r="J13" s="205"/>
      <c r="K13" s="206"/>
      <c r="L13" s="205"/>
      <c r="M13" s="206"/>
      <c r="N13" s="206"/>
      <c r="O13" s="206"/>
      <c r="P13" s="206"/>
      <c r="Q13" s="206"/>
      <c r="R13" s="206"/>
      <c r="S13" s="206"/>
      <c r="T13" s="206"/>
      <c r="U13" s="206"/>
      <c r="V13" s="192" t="s">
        <v>1001</v>
      </c>
      <c r="W13" s="181">
        <v>50000</v>
      </c>
      <c r="X13" s="193">
        <v>0</v>
      </c>
      <c r="Y13" s="184"/>
      <c r="Z13" s="185"/>
      <c r="AA13" s="185"/>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row>
    <row r="14" spans="1:59" s="9" customFormat="1" ht="17.5" thickTop="1" thickBot="1">
      <c r="A14" s="207"/>
      <c r="B14" s="208"/>
      <c r="C14" s="208"/>
      <c r="D14" s="208"/>
      <c r="E14" s="208"/>
      <c r="F14" s="209"/>
      <c r="G14" s="208"/>
      <c r="H14" s="208"/>
      <c r="I14" s="208"/>
      <c r="J14" s="208"/>
      <c r="K14" s="208"/>
      <c r="L14" s="208"/>
      <c r="M14" s="208"/>
      <c r="N14" s="208"/>
      <c r="O14" s="208"/>
      <c r="P14" s="208"/>
      <c r="Q14" s="208"/>
      <c r="R14" s="208"/>
      <c r="S14" s="208"/>
      <c r="T14" s="208"/>
      <c r="U14" s="208"/>
      <c r="V14" s="185"/>
      <c r="W14" s="181"/>
      <c r="X14" s="193"/>
      <c r="Y14" s="194"/>
      <c r="Z14" s="185"/>
      <c r="AA14" s="185"/>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row>
    <row r="15" spans="1:59" s="9" customFormat="1" ht="18.75" customHeight="1" thickTop="1" thickBot="1">
      <c r="A15" s="152" t="s">
        <v>1002</v>
      </c>
      <c r="B15" s="1181" t="s">
        <v>1003</v>
      </c>
      <c r="C15" s="1182"/>
      <c r="D15" s="1182"/>
      <c r="E15" s="1182"/>
      <c r="F15" s="1182"/>
      <c r="G15" s="1182"/>
      <c r="H15" s="1182"/>
      <c r="I15" s="1182"/>
      <c r="J15" s="1182"/>
      <c r="K15" s="1182"/>
      <c r="L15" s="1182"/>
      <c r="M15" s="1183"/>
      <c r="N15" s="1184" t="s">
        <v>1004</v>
      </c>
      <c r="O15" s="1185"/>
      <c r="P15" s="1185"/>
      <c r="Q15" s="1185"/>
      <c r="R15" s="1185"/>
      <c r="S15" s="1185"/>
      <c r="T15" s="1185"/>
      <c r="U15" s="1186"/>
      <c r="V15" s="185"/>
      <c r="W15" s="210" t="s">
        <v>1005</v>
      </c>
      <c r="X15" s="211">
        <v>0.249</v>
      </c>
      <c r="Y15" s="203"/>
      <c r="Z15" s="185"/>
      <c r="AA15" s="185"/>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row>
    <row r="16" spans="1:59">
      <c r="A16" s="146"/>
      <c r="B16" s="212"/>
      <c r="C16" s="11" t="s">
        <v>1006</v>
      </c>
      <c r="D16" s="11" t="s">
        <v>1007</v>
      </c>
      <c r="E16" s="11"/>
      <c r="F16" s="12" t="s">
        <v>1008</v>
      </c>
      <c r="G16" s="11"/>
      <c r="H16" s="12" t="s">
        <v>1009</v>
      </c>
      <c r="I16" s="11"/>
      <c r="J16" s="12" t="s">
        <v>1005</v>
      </c>
      <c r="K16" s="11"/>
      <c r="L16" s="12" t="s">
        <v>1010</v>
      </c>
      <c r="M16" s="13"/>
      <c r="N16" s="14" t="s">
        <v>1008</v>
      </c>
      <c r="O16" s="11"/>
      <c r="P16" s="11"/>
      <c r="Q16" s="11"/>
      <c r="R16" s="12" t="s">
        <v>1009</v>
      </c>
      <c r="S16" s="11"/>
      <c r="T16" s="15" t="s">
        <v>1010</v>
      </c>
      <c r="U16" s="213"/>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row>
    <row r="17" spans="1:59" ht="16" customHeight="1" thickBot="1">
      <c r="A17" s="146"/>
      <c r="B17" s="214"/>
      <c r="C17" s="16"/>
      <c r="D17" s="16"/>
      <c r="E17" s="16"/>
      <c r="F17" s="16"/>
      <c r="G17" s="16"/>
      <c r="H17" s="16"/>
      <c r="I17" s="16"/>
      <c r="J17" s="16"/>
      <c r="K17" s="16"/>
      <c r="L17" s="16"/>
      <c r="M17" s="16"/>
      <c r="N17" s="17"/>
      <c r="O17" s="16"/>
      <c r="P17" s="16"/>
      <c r="Q17" s="16"/>
      <c r="R17" s="16"/>
      <c r="S17" s="16"/>
      <c r="T17" s="16"/>
      <c r="U17" s="215"/>
      <c r="V17" s="146"/>
      <c r="W17" s="146"/>
      <c r="X17" s="21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row>
    <row r="18" spans="1:59" ht="16" customHeight="1">
      <c r="A18" s="146"/>
      <c r="B18" s="217"/>
      <c r="C18" s="218" t="s">
        <v>1011</v>
      </c>
      <c r="D18" s="219"/>
      <c r="E18" s="220"/>
      <c r="F18" s="221"/>
      <c r="G18" s="221"/>
      <c r="H18" s="221"/>
      <c r="I18" s="221"/>
      <c r="J18" s="221"/>
      <c r="K18" s="221"/>
      <c r="L18" s="221"/>
      <c r="M18" s="221"/>
      <c r="N18" s="222"/>
      <c r="O18" s="221"/>
      <c r="P18" s="221"/>
      <c r="Q18" s="221"/>
      <c r="R18" s="221"/>
      <c r="S18" s="221"/>
      <c r="T18" s="221"/>
      <c r="U18" s="223"/>
      <c r="V18" s="146"/>
      <c r="W18" s="146"/>
      <c r="X18" s="21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row>
    <row r="19" spans="1:59" ht="16" customHeight="1">
      <c r="A19" s="146"/>
      <c r="B19" s="217"/>
      <c r="C19" s="224" t="s">
        <v>1012</v>
      </c>
      <c r="D19" s="219"/>
      <c r="E19" s="220"/>
      <c r="F19" s="221"/>
      <c r="G19" s="221"/>
      <c r="H19" s="221"/>
      <c r="I19" s="221"/>
      <c r="J19" s="221"/>
      <c r="K19" s="221"/>
      <c r="L19" s="221"/>
      <c r="M19" s="221"/>
      <c r="N19" s="222"/>
      <c r="O19" s="221"/>
      <c r="P19" s="221"/>
      <c r="Q19" s="221"/>
      <c r="R19" s="221"/>
      <c r="S19" s="221"/>
      <c r="T19" s="221"/>
      <c r="U19" s="223"/>
      <c r="V19" s="146"/>
      <c r="W19" s="225" t="s">
        <v>1013</v>
      </c>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row>
    <row r="20" spans="1:59" ht="16" customHeight="1">
      <c r="A20" s="225"/>
      <c r="B20" s="226"/>
      <c r="C20" s="224" t="s">
        <v>1014</v>
      </c>
      <c r="D20" s="224">
        <v>6</v>
      </c>
      <c r="E20" s="220"/>
      <c r="F20" s="221">
        <v>15693.895906113539</v>
      </c>
      <c r="G20" s="221"/>
      <c r="H20" s="221">
        <f t="shared" ref="H20:H38" si="0">IF($F20&gt;$W$12,($F20-$W$12)*$Y$12,"ERROR")</f>
        <v>953.0136350436685</v>
      </c>
      <c r="I20" s="221"/>
      <c r="J20" s="221">
        <f t="shared" ref="J20:J40" si="1">$F20*$X$15</f>
        <v>3907.7800806222713</v>
      </c>
      <c r="K20" s="221"/>
      <c r="L20" s="221">
        <f t="shared" ref="L20:L39" si="2">F20+ROUND(H20,0)+ROUND(J20,0)</f>
        <v>20554.895906113539</v>
      </c>
      <c r="M20" s="221"/>
      <c r="N20" s="222">
        <f t="shared" ref="N20:N39" si="3">F20</f>
        <v>15693.895906113539</v>
      </c>
      <c r="O20" s="221"/>
      <c r="P20" s="221"/>
      <c r="Q20" s="221"/>
      <c r="R20" s="221">
        <f t="shared" ref="R20:R39" si="4">IF($N20&gt;$W$12,($N20-$W$12)*$Y$12,"ERROR")</f>
        <v>953.0136350436685</v>
      </c>
      <c r="S20" s="221"/>
      <c r="T20" s="221">
        <f t="shared" ref="T20:T39" si="5">SUM(N20:R20)</f>
        <v>16646.909541157209</v>
      </c>
      <c r="U20" s="223"/>
      <c r="V20" s="227"/>
      <c r="W20" s="225" t="s">
        <v>1015</v>
      </c>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row>
    <row r="21" spans="1:59" ht="16" customHeight="1">
      <c r="A21" s="225"/>
      <c r="B21" s="226"/>
      <c r="C21" s="224" t="s">
        <v>1011</v>
      </c>
      <c r="D21" s="224">
        <v>7</v>
      </c>
      <c r="E21" s="220"/>
      <c r="F21" s="221">
        <v>15805.888919213976</v>
      </c>
      <c r="G21" s="221"/>
      <c r="H21" s="221">
        <f t="shared" si="0"/>
        <v>968.46867085152871</v>
      </c>
      <c r="I21" s="221"/>
      <c r="J21" s="221">
        <f t="shared" si="1"/>
        <v>3935.6663408842801</v>
      </c>
      <c r="K21" s="221"/>
      <c r="L21" s="221">
        <f t="shared" si="2"/>
        <v>20709.888919213976</v>
      </c>
      <c r="M21" s="221"/>
      <c r="N21" s="222">
        <f t="shared" si="3"/>
        <v>15805.888919213976</v>
      </c>
      <c r="O21" s="221"/>
      <c r="P21" s="221"/>
      <c r="Q21" s="221"/>
      <c r="R21" s="221">
        <f t="shared" si="4"/>
        <v>968.46867085152871</v>
      </c>
      <c r="S21" s="221"/>
      <c r="T21" s="221">
        <f t="shared" si="5"/>
        <v>16774.357590065505</v>
      </c>
      <c r="U21" s="223"/>
      <c r="V21" s="227"/>
      <c r="W21" s="225"/>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row>
    <row r="22" spans="1:59" ht="16" customHeight="1">
      <c r="A22" s="225"/>
      <c r="B22" s="226"/>
      <c r="C22" s="224" t="s">
        <v>1011</v>
      </c>
      <c r="D22" s="224">
        <v>8</v>
      </c>
      <c r="E22" s="220"/>
      <c r="F22" s="221">
        <v>16115.619596069871</v>
      </c>
      <c r="G22" s="221"/>
      <c r="H22" s="221">
        <f t="shared" si="0"/>
        <v>1011.2115042576423</v>
      </c>
      <c r="I22" s="221"/>
      <c r="J22" s="221">
        <f t="shared" si="1"/>
        <v>4012.7892794213981</v>
      </c>
      <c r="K22" s="221"/>
      <c r="L22" s="221">
        <f t="shared" si="2"/>
        <v>21139.619596069871</v>
      </c>
      <c r="M22" s="221"/>
      <c r="N22" s="222">
        <f t="shared" si="3"/>
        <v>16115.619596069871</v>
      </c>
      <c r="O22" s="221"/>
      <c r="P22" s="221"/>
      <c r="Q22" s="221"/>
      <c r="R22" s="221">
        <f t="shared" si="4"/>
        <v>1011.2115042576423</v>
      </c>
      <c r="S22" s="221"/>
      <c r="T22" s="221">
        <f t="shared" si="5"/>
        <v>17126.831100327512</v>
      </c>
      <c r="U22" s="223"/>
      <c r="V22" s="227"/>
      <c r="W22" s="225" t="s">
        <v>1016</v>
      </c>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row>
    <row r="23" spans="1:59" ht="16" customHeight="1">
      <c r="A23" s="225"/>
      <c r="B23" s="226"/>
      <c r="C23" s="228" t="s">
        <v>1011</v>
      </c>
      <c r="D23" s="228">
        <v>9</v>
      </c>
      <c r="E23" s="229"/>
      <c r="F23" s="230">
        <v>16462.972925764192</v>
      </c>
      <c r="G23" s="230"/>
      <c r="H23" s="230">
        <f t="shared" si="0"/>
        <v>1059.1462637554587</v>
      </c>
      <c r="I23" s="230"/>
      <c r="J23" s="230">
        <f t="shared" si="1"/>
        <v>4099.280258515284</v>
      </c>
      <c r="K23" s="230"/>
      <c r="L23" s="230">
        <f t="shared" si="2"/>
        <v>21620.972925764192</v>
      </c>
      <c r="M23" s="230"/>
      <c r="N23" s="231">
        <f t="shared" si="3"/>
        <v>16462.972925764192</v>
      </c>
      <c r="O23" s="230"/>
      <c r="P23" s="230"/>
      <c r="Q23" s="230"/>
      <c r="R23" s="230">
        <f t="shared" si="4"/>
        <v>1059.1462637554587</v>
      </c>
      <c r="S23" s="230"/>
      <c r="T23" s="230">
        <f t="shared" si="5"/>
        <v>17522.11918951965</v>
      </c>
      <c r="U23" s="223"/>
      <c r="V23" s="146"/>
      <c r="W23" s="225" t="s">
        <v>1017</v>
      </c>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row>
    <row r="24" spans="1:59" ht="16" customHeight="1">
      <c r="A24" s="225"/>
      <c r="B24" s="226"/>
      <c r="C24" s="224" t="s">
        <v>1018</v>
      </c>
      <c r="D24" s="224">
        <v>12</v>
      </c>
      <c r="E24" s="220"/>
      <c r="F24" s="221">
        <v>17381.665611353714</v>
      </c>
      <c r="G24" s="221"/>
      <c r="H24" s="221">
        <f t="shared" si="0"/>
        <v>1185.9258543668127</v>
      </c>
      <c r="I24" s="221"/>
      <c r="J24" s="221">
        <f t="shared" si="1"/>
        <v>4328.0347372270744</v>
      </c>
      <c r="K24" s="221"/>
      <c r="L24" s="221">
        <f t="shared" si="2"/>
        <v>22895.665611353714</v>
      </c>
      <c r="M24" s="221"/>
      <c r="N24" s="222">
        <f t="shared" si="3"/>
        <v>17381.665611353714</v>
      </c>
      <c r="O24" s="221"/>
      <c r="P24" s="221"/>
      <c r="Q24" s="221"/>
      <c r="R24" s="221">
        <f t="shared" si="4"/>
        <v>1185.9258543668127</v>
      </c>
      <c r="S24" s="221"/>
      <c r="T24" s="221">
        <f t="shared" si="5"/>
        <v>18567.591465720525</v>
      </c>
      <c r="U24" s="223"/>
      <c r="V24" s="227"/>
      <c r="W24" s="225"/>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row>
    <row r="25" spans="1:59" ht="16" customHeight="1">
      <c r="A25" s="225"/>
      <c r="B25" s="226"/>
      <c r="C25" s="224" t="s">
        <v>1019</v>
      </c>
      <c r="D25" s="224">
        <v>13</v>
      </c>
      <c r="E25" s="220"/>
      <c r="F25" s="221">
        <v>17799.889519650656</v>
      </c>
      <c r="G25" s="221"/>
      <c r="H25" s="221">
        <f t="shared" si="0"/>
        <v>1243.6407537117907</v>
      </c>
      <c r="I25" s="221"/>
      <c r="J25" s="221">
        <f t="shared" si="1"/>
        <v>4432.1724903930135</v>
      </c>
      <c r="K25" s="221"/>
      <c r="L25" s="221">
        <f t="shared" si="2"/>
        <v>23475.889519650656</v>
      </c>
      <c r="M25" s="221"/>
      <c r="N25" s="222">
        <f t="shared" si="3"/>
        <v>17799.889519650656</v>
      </c>
      <c r="O25" s="221"/>
      <c r="P25" s="221"/>
      <c r="Q25" s="221"/>
      <c r="R25" s="221">
        <f t="shared" si="4"/>
        <v>1243.6407537117907</v>
      </c>
      <c r="S25" s="221"/>
      <c r="T25" s="221">
        <f t="shared" si="5"/>
        <v>19043.530273362448</v>
      </c>
      <c r="U25" s="223"/>
      <c r="V25" s="227"/>
      <c r="W25" s="225" t="s">
        <v>1020</v>
      </c>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row>
    <row r="26" spans="1:59" ht="16" customHeight="1">
      <c r="A26" s="225"/>
      <c r="B26" s="226"/>
      <c r="C26" s="224" t="s">
        <v>1011</v>
      </c>
      <c r="D26" s="224">
        <v>14</v>
      </c>
      <c r="E26" s="220"/>
      <c r="F26" s="221">
        <v>18504.220578602624</v>
      </c>
      <c r="G26" s="221"/>
      <c r="H26" s="221">
        <f t="shared" si="0"/>
        <v>1340.8384398471624</v>
      </c>
      <c r="I26" s="221"/>
      <c r="J26" s="221">
        <f t="shared" si="1"/>
        <v>4607.550924072053</v>
      </c>
      <c r="K26" s="221"/>
      <c r="L26" s="221">
        <f t="shared" si="2"/>
        <v>24453.220578602624</v>
      </c>
      <c r="M26" s="232"/>
      <c r="N26" s="221">
        <f t="shared" si="3"/>
        <v>18504.220578602624</v>
      </c>
      <c r="O26" s="221"/>
      <c r="P26" s="221"/>
      <c r="Q26" s="221"/>
      <c r="R26" s="221">
        <f t="shared" si="4"/>
        <v>1340.8384398471624</v>
      </c>
      <c r="S26" s="221"/>
      <c r="T26" s="221">
        <f t="shared" si="5"/>
        <v>19845.059018449785</v>
      </c>
      <c r="U26" s="223"/>
      <c r="V26" s="227"/>
      <c r="W26" s="225" t="s">
        <v>1190</v>
      </c>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row>
    <row r="27" spans="1:59" ht="16" customHeight="1">
      <c r="A27" s="225"/>
      <c r="B27" s="226"/>
      <c r="C27" s="243" t="s">
        <v>1011</v>
      </c>
      <c r="D27" s="243">
        <v>15</v>
      </c>
      <c r="E27" s="244"/>
      <c r="F27" s="245">
        <v>19276.797379912667</v>
      </c>
      <c r="G27" s="245"/>
      <c r="H27" s="245">
        <f t="shared" si="0"/>
        <v>1447.454038427948</v>
      </c>
      <c r="I27" s="245"/>
      <c r="J27" s="245">
        <f>$F27*$X$15</f>
        <v>4799.9225475982539</v>
      </c>
      <c r="K27" s="245"/>
      <c r="L27" s="245">
        <f t="shared" si="2"/>
        <v>25523.797379912667</v>
      </c>
      <c r="M27" s="230"/>
      <c r="N27" s="231">
        <f t="shared" si="3"/>
        <v>19276.797379912667</v>
      </c>
      <c r="O27" s="230"/>
      <c r="P27" s="230"/>
      <c r="Q27" s="230"/>
      <c r="R27" s="230">
        <f t="shared" si="4"/>
        <v>1447.454038427948</v>
      </c>
      <c r="S27" s="230"/>
      <c r="T27" s="230">
        <f t="shared" si="5"/>
        <v>20724.251418340617</v>
      </c>
      <c r="U27" s="223"/>
      <c r="V27" s="246" t="s">
        <v>1255</v>
      </c>
      <c r="W27" s="225"/>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row>
    <row r="28" spans="1:59" ht="16" customHeight="1">
      <c r="A28" s="225"/>
      <c r="B28" s="226"/>
      <c r="C28" s="224" t="s">
        <v>1022</v>
      </c>
      <c r="D28" s="224">
        <v>15</v>
      </c>
      <c r="E28" s="220"/>
      <c r="F28" s="221">
        <v>19276.797379912667</v>
      </c>
      <c r="G28" s="221"/>
      <c r="H28" s="221">
        <f t="shared" si="0"/>
        <v>1447.454038427948</v>
      </c>
      <c r="I28" s="221"/>
      <c r="J28" s="221">
        <f t="shared" si="1"/>
        <v>4799.9225475982539</v>
      </c>
      <c r="K28" s="221"/>
      <c r="L28" s="221">
        <f t="shared" si="2"/>
        <v>25523.797379912667</v>
      </c>
      <c r="M28" s="221"/>
      <c r="N28" s="222">
        <f t="shared" si="3"/>
        <v>19276.797379912667</v>
      </c>
      <c r="O28" s="221"/>
      <c r="P28" s="221"/>
      <c r="Q28" s="221"/>
      <c r="R28" s="221">
        <f t="shared" si="4"/>
        <v>1447.454038427948</v>
      </c>
      <c r="S28" s="221"/>
      <c r="T28" s="221">
        <f t="shared" si="5"/>
        <v>20724.251418340617</v>
      </c>
      <c r="U28" s="223"/>
      <c r="V28" s="227"/>
      <c r="W28" s="225" t="s">
        <v>1023</v>
      </c>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row>
    <row r="29" spans="1:59" ht="16" customHeight="1">
      <c r="A29" s="225"/>
      <c r="B29" s="226"/>
      <c r="C29" s="224" t="s">
        <v>1024</v>
      </c>
      <c r="D29" s="224">
        <v>16</v>
      </c>
      <c r="E29" s="220"/>
      <c r="F29" s="221">
        <v>20045.874399563323</v>
      </c>
      <c r="G29" s="221"/>
      <c r="H29" s="221">
        <f t="shared" si="0"/>
        <v>1553.5866671397387</v>
      </c>
      <c r="I29" s="221"/>
      <c r="J29" s="221">
        <f t="shared" si="1"/>
        <v>4991.4227254912676</v>
      </c>
      <c r="K29" s="221"/>
      <c r="L29" s="221">
        <f t="shared" si="2"/>
        <v>26590.874399563323</v>
      </c>
      <c r="M29" s="221"/>
      <c r="N29" s="222">
        <f t="shared" si="3"/>
        <v>20045.874399563323</v>
      </c>
      <c r="O29" s="221"/>
      <c r="P29" s="221"/>
      <c r="Q29" s="221"/>
      <c r="R29" s="221">
        <f t="shared" si="4"/>
        <v>1553.5866671397387</v>
      </c>
      <c r="S29" s="221"/>
      <c r="T29" s="221">
        <f t="shared" si="5"/>
        <v>21599.461066703061</v>
      </c>
      <c r="U29" s="223"/>
      <c r="V29" s="227"/>
      <c r="W29" s="225" t="s">
        <v>1025</v>
      </c>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row>
    <row r="30" spans="1:59" ht="16" customHeight="1">
      <c r="A30" s="225"/>
      <c r="B30" s="226"/>
      <c r="C30" s="224" t="s">
        <v>1026</v>
      </c>
      <c r="D30" s="224">
        <v>17</v>
      </c>
      <c r="E30" s="220"/>
      <c r="F30" s="221">
        <v>20720.457314410483</v>
      </c>
      <c r="G30" s="221"/>
      <c r="H30" s="221">
        <f t="shared" si="0"/>
        <v>1646.6791093886468</v>
      </c>
      <c r="I30" s="221"/>
      <c r="J30" s="221">
        <f t="shared" si="1"/>
        <v>5159.39387128821</v>
      </c>
      <c r="K30" s="221"/>
      <c r="L30" s="221">
        <f t="shared" si="2"/>
        <v>27526.457314410483</v>
      </c>
      <c r="M30" s="221"/>
      <c r="N30" s="222">
        <f t="shared" si="3"/>
        <v>20720.457314410483</v>
      </c>
      <c r="O30" s="221"/>
      <c r="P30" s="221"/>
      <c r="Q30" s="221"/>
      <c r="R30" s="221">
        <f t="shared" si="4"/>
        <v>1646.6791093886468</v>
      </c>
      <c r="S30" s="221"/>
      <c r="T30" s="221">
        <f t="shared" si="5"/>
        <v>22367.136423799129</v>
      </c>
      <c r="U30" s="223"/>
      <c r="V30" s="227"/>
      <c r="W30" s="225" t="s">
        <v>1192</v>
      </c>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row>
    <row r="31" spans="1:59" ht="16" customHeight="1">
      <c r="A31" s="225"/>
      <c r="B31" s="226"/>
      <c r="C31" s="228" t="s">
        <v>1011</v>
      </c>
      <c r="D31" s="228">
        <v>18</v>
      </c>
      <c r="E31" s="229"/>
      <c r="F31" s="230">
        <v>21393.290338427945</v>
      </c>
      <c r="G31" s="230"/>
      <c r="H31" s="230">
        <f t="shared" si="0"/>
        <v>1739.5300667030565</v>
      </c>
      <c r="I31" s="230"/>
      <c r="J31" s="230">
        <f t="shared" si="1"/>
        <v>5326.9292942685579</v>
      </c>
      <c r="K31" s="230"/>
      <c r="L31" s="230">
        <f t="shared" si="2"/>
        <v>28460.290338427945</v>
      </c>
      <c r="M31" s="230"/>
      <c r="N31" s="231">
        <f t="shared" si="3"/>
        <v>21393.290338427945</v>
      </c>
      <c r="O31" s="230"/>
      <c r="P31" s="230"/>
      <c r="Q31" s="230"/>
      <c r="R31" s="230">
        <f t="shared" si="4"/>
        <v>1739.5300667030565</v>
      </c>
      <c r="S31" s="230"/>
      <c r="T31" s="230">
        <f t="shared" si="5"/>
        <v>23132.820405131002</v>
      </c>
      <c r="U31" s="223"/>
      <c r="V31" s="227"/>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row>
    <row r="32" spans="1:59" ht="16" customHeight="1">
      <c r="A32" s="225"/>
      <c r="B32" s="226"/>
      <c r="C32" s="224" t="s">
        <v>1028</v>
      </c>
      <c r="D32" s="224">
        <v>18</v>
      </c>
      <c r="E32" s="220"/>
      <c r="F32" s="221">
        <v>21393.290338427945</v>
      </c>
      <c r="G32" s="221"/>
      <c r="H32" s="221">
        <f t="shared" si="0"/>
        <v>1739.5300667030565</v>
      </c>
      <c r="I32" s="221"/>
      <c r="J32" s="221">
        <f t="shared" si="1"/>
        <v>5326.9292942685579</v>
      </c>
      <c r="K32" s="221"/>
      <c r="L32" s="221">
        <f>F32+ROUND(H32,0)+ROUND(J32,0)</f>
        <v>28460.290338427945</v>
      </c>
      <c r="M32" s="221"/>
      <c r="N32" s="222">
        <f>F32</f>
        <v>21393.290338427945</v>
      </c>
      <c r="O32" s="221"/>
      <c r="P32" s="221"/>
      <c r="Q32" s="221"/>
      <c r="R32" s="221">
        <f t="shared" si="4"/>
        <v>1739.5300667030565</v>
      </c>
      <c r="S32" s="221"/>
      <c r="T32" s="221">
        <f>SUM(N32:R32)</f>
        <v>23132.820405131002</v>
      </c>
      <c r="U32" s="223"/>
      <c r="V32" s="227"/>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row>
    <row r="33" spans="1:59" ht="16" customHeight="1">
      <c r="A33" s="225"/>
      <c r="B33" s="226"/>
      <c r="C33" s="224" t="s">
        <v>1029</v>
      </c>
      <c r="D33" s="224">
        <v>19</v>
      </c>
      <c r="E33" s="220"/>
      <c r="F33" s="221">
        <v>22131.744268558956</v>
      </c>
      <c r="G33" s="221"/>
      <c r="H33" s="221">
        <f t="shared" si="0"/>
        <v>1841.4367090611361</v>
      </c>
      <c r="I33" s="221"/>
      <c r="J33" s="221">
        <f t="shared" si="1"/>
        <v>5510.8043228711804</v>
      </c>
      <c r="K33" s="221"/>
      <c r="L33" s="221">
        <f>F33+ROUND(H33,0)+ROUND(J33,0)</f>
        <v>29483.744268558956</v>
      </c>
      <c r="M33" s="221"/>
      <c r="N33" s="222">
        <f>F33</f>
        <v>22131.744268558956</v>
      </c>
      <c r="O33" s="221"/>
      <c r="P33" s="221"/>
      <c r="Q33" s="221"/>
      <c r="R33" s="221">
        <f t="shared" si="4"/>
        <v>1841.4367090611361</v>
      </c>
      <c r="S33" s="221"/>
      <c r="T33" s="221">
        <f>SUM(N33:R33)</f>
        <v>23973.180977620093</v>
      </c>
      <c r="U33" s="223"/>
      <c r="V33" s="227"/>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row>
    <row r="34" spans="1:59" ht="16" customHeight="1">
      <c r="A34" s="225"/>
      <c r="B34" s="226"/>
      <c r="C34" s="224" t="s">
        <v>1030</v>
      </c>
      <c r="D34" s="224">
        <v>20</v>
      </c>
      <c r="E34" s="220"/>
      <c r="F34" s="221">
        <v>22808.077074235811</v>
      </c>
      <c r="G34" s="221"/>
      <c r="H34" s="221">
        <f t="shared" si="0"/>
        <v>1934.7706362445422</v>
      </c>
      <c r="I34" s="221"/>
      <c r="J34" s="221">
        <f t="shared" si="1"/>
        <v>5679.2111914847164</v>
      </c>
      <c r="K34" s="221"/>
      <c r="L34" s="221">
        <f>F34+ROUND(H34,0)+ROUND(J34,0)</f>
        <v>30422.077074235811</v>
      </c>
      <c r="M34" s="221"/>
      <c r="N34" s="222">
        <f>F34</f>
        <v>22808.077074235811</v>
      </c>
      <c r="O34" s="221"/>
      <c r="P34" s="221"/>
      <c r="Q34" s="221"/>
      <c r="R34" s="221">
        <f t="shared" si="4"/>
        <v>1934.7706362445422</v>
      </c>
      <c r="S34" s="221"/>
      <c r="T34" s="221">
        <f>SUM(N34:R34)</f>
        <v>24742.847710480353</v>
      </c>
      <c r="U34" s="223"/>
      <c r="V34" s="227"/>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row>
    <row r="35" spans="1:59" ht="16" customHeight="1">
      <c r="A35" s="225"/>
      <c r="B35" s="226"/>
      <c r="C35" s="228" t="s">
        <v>1011</v>
      </c>
      <c r="D35" s="228">
        <v>21</v>
      </c>
      <c r="E35" s="229"/>
      <c r="F35" s="230">
        <v>23612.151910480352</v>
      </c>
      <c r="G35" s="230"/>
      <c r="H35" s="230">
        <f t="shared" si="0"/>
        <v>2045.7329636462887</v>
      </c>
      <c r="I35" s="230"/>
      <c r="J35" s="230">
        <f t="shared" si="1"/>
        <v>5879.425825709608</v>
      </c>
      <c r="K35" s="230"/>
      <c r="L35" s="230">
        <f>F35+ROUND(H35,0)+ROUND(J35,0)</f>
        <v>31537.151910480352</v>
      </c>
      <c r="M35" s="230"/>
      <c r="N35" s="231">
        <f>F35</f>
        <v>23612.151910480352</v>
      </c>
      <c r="O35" s="230"/>
      <c r="P35" s="230"/>
      <c r="Q35" s="230"/>
      <c r="R35" s="230">
        <f t="shared" si="4"/>
        <v>2045.7329636462887</v>
      </c>
      <c r="S35" s="230"/>
      <c r="T35" s="230">
        <f>SUM(N35:R35)</f>
        <v>25657.884874126641</v>
      </c>
      <c r="U35" s="223"/>
      <c r="V35" s="227"/>
      <c r="W35" s="251"/>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row>
    <row r="36" spans="1:59" ht="16" customHeight="1">
      <c r="A36" s="225"/>
      <c r="B36" s="226"/>
      <c r="C36" s="224" t="s">
        <v>1031</v>
      </c>
      <c r="D36" s="224">
        <v>21</v>
      </c>
      <c r="E36" s="220"/>
      <c r="F36" s="221">
        <v>23925.587555309736</v>
      </c>
      <c r="G36" s="221"/>
      <c r="H36" s="221">
        <f t="shared" si="0"/>
        <v>2088.9870826327437</v>
      </c>
      <c r="I36" s="221"/>
      <c r="J36" s="221">
        <f t="shared" si="1"/>
        <v>5957.471301272124</v>
      </c>
      <c r="K36" s="221"/>
      <c r="L36" s="221">
        <f t="shared" si="2"/>
        <v>31971.587555309736</v>
      </c>
      <c r="M36" s="221"/>
      <c r="N36" s="222">
        <f t="shared" si="3"/>
        <v>23925.587555309736</v>
      </c>
      <c r="O36" s="221"/>
      <c r="P36" s="221"/>
      <c r="Q36" s="221"/>
      <c r="R36" s="221">
        <f t="shared" si="4"/>
        <v>2088.9870826327437</v>
      </c>
      <c r="S36" s="221"/>
      <c r="T36" s="221">
        <f t="shared" si="5"/>
        <v>26014.574637942478</v>
      </c>
      <c r="U36" s="223"/>
      <c r="V36" s="227"/>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row>
    <row r="37" spans="1:59" ht="16" customHeight="1">
      <c r="A37" s="146"/>
      <c r="B37" s="226"/>
      <c r="C37" s="224" t="s">
        <v>1032</v>
      </c>
      <c r="D37" s="224">
        <v>22</v>
      </c>
      <c r="E37" s="220"/>
      <c r="F37" s="221">
        <v>24739.44939159292</v>
      </c>
      <c r="G37" s="221"/>
      <c r="H37" s="221">
        <f t="shared" si="0"/>
        <v>2201.3000160398233</v>
      </c>
      <c r="I37" s="221"/>
      <c r="J37" s="221">
        <f t="shared" si="1"/>
        <v>6160.1228985066373</v>
      </c>
      <c r="K37" s="221"/>
      <c r="L37" s="221">
        <f t="shared" si="2"/>
        <v>33100.44939159292</v>
      </c>
      <c r="M37" s="221"/>
      <c r="N37" s="222">
        <f t="shared" si="3"/>
        <v>24739.44939159292</v>
      </c>
      <c r="O37" s="221"/>
      <c r="P37" s="221"/>
      <c r="Q37" s="221"/>
      <c r="R37" s="221">
        <f t="shared" si="4"/>
        <v>2201.3000160398233</v>
      </c>
      <c r="S37" s="221"/>
      <c r="T37" s="221">
        <f t="shared" si="5"/>
        <v>26940.749407632742</v>
      </c>
      <c r="U37" s="223"/>
      <c r="V37" s="227"/>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row>
    <row r="38" spans="1:59" ht="16" customHeight="1">
      <c r="A38" s="146"/>
      <c r="B38" s="226"/>
      <c r="C38" s="224" t="s">
        <v>1033</v>
      </c>
      <c r="D38" s="224">
        <v>23</v>
      </c>
      <c r="E38" s="220"/>
      <c r="F38" s="221">
        <v>25815.732909292037</v>
      </c>
      <c r="G38" s="221"/>
      <c r="H38" s="221">
        <f t="shared" si="0"/>
        <v>2349.8271414823012</v>
      </c>
      <c r="I38" s="221"/>
      <c r="J38" s="221">
        <f t="shared" si="1"/>
        <v>6428.1174944137174</v>
      </c>
      <c r="K38" s="221"/>
      <c r="L38" s="221">
        <f>F38+ROUND(H38,0)+ROUND(J38,0)</f>
        <v>34593.732909292041</v>
      </c>
      <c r="M38" s="221"/>
      <c r="N38" s="222">
        <f>F38</f>
        <v>25815.732909292037</v>
      </c>
      <c r="O38" s="221"/>
      <c r="P38" s="221"/>
      <c r="Q38" s="221"/>
      <c r="R38" s="221">
        <f t="shared" si="4"/>
        <v>2349.8271414823012</v>
      </c>
      <c r="S38" s="221"/>
      <c r="T38" s="221">
        <f>SUM(N38:R38)</f>
        <v>28165.560050774337</v>
      </c>
      <c r="U38" s="223"/>
      <c r="V38" s="227"/>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row>
    <row r="39" spans="1:59" ht="16" customHeight="1">
      <c r="A39" s="146"/>
      <c r="B39" s="226"/>
      <c r="C39" s="224" t="s">
        <v>1011</v>
      </c>
      <c r="D39" s="224">
        <v>24</v>
      </c>
      <c r="E39" s="220"/>
      <c r="F39" s="221">
        <v>26793.608296460181</v>
      </c>
      <c r="G39" s="221"/>
      <c r="H39" s="221">
        <f>IF($F39&gt;$W$12,($F39-$W$12)*$Y$12,"ERROR")</f>
        <v>2484.7739449115052</v>
      </c>
      <c r="I39" s="221"/>
      <c r="J39" s="221">
        <f t="shared" si="1"/>
        <v>6671.6084658185855</v>
      </c>
      <c r="K39" s="221"/>
      <c r="L39" s="221">
        <f t="shared" si="2"/>
        <v>35950.608296460181</v>
      </c>
      <c r="M39" s="221"/>
      <c r="N39" s="222">
        <f t="shared" si="3"/>
        <v>26793.608296460181</v>
      </c>
      <c r="O39" s="221"/>
      <c r="P39" s="221"/>
      <c r="Q39" s="221"/>
      <c r="R39" s="221">
        <f t="shared" si="4"/>
        <v>2484.7739449115052</v>
      </c>
      <c r="S39" s="221"/>
      <c r="T39" s="221">
        <f t="shared" si="5"/>
        <v>29278.382241371684</v>
      </c>
      <c r="U39" s="223"/>
      <c r="V39" s="227"/>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row>
    <row r="40" spans="1:59" ht="16" customHeight="1" thickBot="1">
      <c r="A40" s="146" t="s">
        <v>852</v>
      </c>
      <c r="B40" s="233"/>
      <c r="C40" s="234" t="s">
        <v>1256</v>
      </c>
      <c r="D40" s="235">
        <v>0.6</v>
      </c>
      <c r="E40" s="236"/>
      <c r="F40" s="237">
        <f>F24-((F24-F23)*40%)</f>
        <v>17014.188537117905</v>
      </c>
      <c r="G40" s="238"/>
      <c r="H40" s="239">
        <f>IF($F40&gt;$W$12,($F40-$W$12)*$Y$12,"ERROR")</f>
        <v>1135.214018122271</v>
      </c>
      <c r="I40" s="239"/>
      <c r="J40" s="239">
        <f t="shared" si="1"/>
        <v>4236.5329457423586</v>
      </c>
      <c r="K40" s="239"/>
      <c r="L40" s="239">
        <f>F40+ROUND(H40,0)+ROUND(J40,0)</f>
        <v>22386.188537117905</v>
      </c>
      <c r="M40" s="240"/>
      <c r="N40" s="241"/>
      <c r="O40" s="240"/>
      <c r="P40" s="240"/>
      <c r="Q40" s="240"/>
      <c r="R40" s="240"/>
      <c r="S40" s="240"/>
      <c r="T40" s="240"/>
      <c r="U40" s="242"/>
      <c r="V40" s="227" t="s">
        <v>1257</v>
      </c>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row>
    <row r="41" spans="1:59" ht="16" customHeight="1">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row>
    <row r="42" spans="1:59">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row>
    <row r="43" spans="1:59" ht="16" thickBot="1">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row>
    <row r="44" spans="1:59" ht="16" thickTop="1">
      <c r="A44" s="146"/>
      <c r="B44" s="1181" t="s">
        <v>1003</v>
      </c>
      <c r="C44" s="1182"/>
      <c r="D44" s="1182"/>
      <c r="E44" s="1182"/>
      <c r="F44" s="1182"/>
      <c r="G44" s="1182"/>
      <c r="H44" s="1182"/>
      <c r="I44" s="1182"/>
      <c r="J44" s="1182"/>
      <c r="K44" s="1182"/>
      <c r="L44" s="1182"/>
      <c r="M44" s="1183"/>
      <c r="N44" s="1184" t="s">
        <v>1004</v>
      </c>
      <c r="O44" s="1185"/>
      <c r="P44" s="1185"/>
      <c r="Q44" s="1185"/>
      <c r="R44" s="1185"/>
      <c r="S44" s="1185"/>
      <c r="T44" s="1185"/>
      <c r="U44" s="1186"/>
      <c r="V44" s="185"/>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row>
    <row r="45" spans="1:59">
      <c r="A45" s="146"/>
      <c r="B45" s="212"/>
      <c r="C45" s="11" t="s">
        <v>1006</v>
      </c>
      <c r="D45" s="11" t="s">
        <v>1007</v>
      </c>
      <c r="E45" s="11"/>
      <c r="F45" s="12" t="s">
        <v>1008</v>
      </c>
      <c r="G45" s="11"/>
      <c r="H45" s="12" t="s">
        <v>1009</v>
      </c>
      <c r="I45" s="11"/>
      <c r="J45" s="12" t="s">
        <v>1005</v>
      </c>
      <c r="K45" s="11"/>
      <c r="L45" s="12" t="s">
        <v>1010</v>
      </c>
      <c r="M45" s="13"/>
      <c r="N45" s="14" t="s">
        <v>1008</v>
      </c>
      <c r="O45" s="11"/>
      <c r="P45" s="11"/>
      <c r="Q45" s="11"/>
      <c r="R45" s="12" t="s">
        <v>1009</v>
      </c>
      <c r="S45" s="11"/>
      <c r="T45" s="15" t="s">
        <v>1010</v>
      </c>
      <c r="U45" s="213"/>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row>
    <row r="46" spans="1:59" ht="16" thickBot="1">
      <c r="A46" s="146"/>
      <c r="B46" s="214"/>
      <c r="C46" s="16"/>
      <c r="D46" s="16"/>
      <c r="E46" s="16"/>
      <c r="F46" s="16"/>
      <c r="G46" s="16"/>
      <c r="H46" s="16"/>
      <c r="I46" s="16"/>
      <c r="J46" s="16"/>
      <c r="K46" s="16"/>
      <c r="L46" s="16"/>
      <c r="M46" s="16"/>
      <c r="N46" s="17"/>
      <c r="O46" s="16"/>
      <c r="P46" s="16"/>
      <c r="Q46" s="16"/>
      <c r="R46" s="16"/>
      <c r="S46" s="16"/>
      <c r="T46" s="16"/>
      <c r="U46" s="215"/>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row>
    <row r="47" spans="1:59" ht="17.5">
      <c r="A47" s="146" t="s">
        <v>943</v>
      </c>
      <c r="B47" s="217"/>
      <c r="C47" s="218" t="s">
        <v>1011</v>
      </c>
      <c r="D47" s="219"/>
      <c r="E47" s="220"/>
      <c r="F47" s="221"/>
      <c r="G47" s="221"/>
      <c r="H47" s="221"/>
      <c r="I47" s="221"/>
      <c r="J47" s="221"/>
      <c r="K47" s="221"/>
      <c r="L47" s="221"/>
      <c r="M47" s="221"/>
      <c r="N47" s="222"/>
      <c r="O47" s="221"/>
      <c r="P47" s="221"/>
      <c r="Q47" s="221"/>
      <c r="R47" s="221"/>
      <c r="S47" s="221"/>
      <c r="T47" s="221"/>
      <c r="U47" s="223"/>
      <c r="V47" s="146" t="s">
        <v>1258</v>
      </c>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row>
    <row r="48" spans="1:59" ht="17.5">
      <c r="A48" s="146"/>
      <c r="B48" s="217"/>
      <c r="C48" s="224" t="s">
        <v>1012</v>
      </c>
      <c r="D48" s="219"/>
      <c r="E48" s="220"/>
      <c r="F48" s="221"/>
      <c r="G48" s="221"/>
      <c r="H48" s="221"/>
      <c r="I48" s="221"/>
      <c r="J48" s="221"/>
      <c r="K48" s="221"/>
      <c r="L48" s="221"/>
      <c r="M48" s="221"/>
      <c r="N48" s="222"/>
      <c r="O48" s="221"/>
      <c r="P48" s="221"/>
      <c r="Q48" s="221"/>
      <c r="R48" s="221"/>
      <c r="S48" s="221"/>
      <c r="T48" s="221"/>
      <c r="U48" s="223"/>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row>
    <row r="49" spans="1:59" ht="17.5">
      <c r="A49" s="146"/>
      <c r="B49" s="226"/>
      <c r="C49" s="224" t="s">
        <v>1014</v>
      </c>
      <c r="D49" s="224">
        <v>6</v>
      </c>
      <c r="E49" s="220"/>
      <c r="F49" s="221">
        <v>15693.895906113539</v>
      </c>
      <c r="G49" s="221"/>
      <c r="H49" s="221">
        <f t="shared" ref="H49:H67" si="6">IF($F49&gt;$W$12,($F49-$W$12)*$Y$12,"ERROR")</f>
        <v>953.0136350436685</v>
      </c>
      <c r="I49" s="221"/>
      <c r="J49" s="221">
        <f t="shared" ref="J49:J68" si="7">$F49*$X$15</f>
        <v>3907.7800806222713</v>
      </c>
      <c r="K49" s="221"/>
      <c r="L49" s="221">
        <f t="shared" ref="L49:L60" si="8">F49+ROUND(H49,0)+ROUND(J49,0)</f>
        <v>20554.895906113539</v>
      </c>
      <c r="M49" s="221"/>
      <c r="N49" s="222">
        <f t="shared" ref="N49:N60" si="9">F49</f>
        <v>15693.895906113539</v>
      </c>
      <c r="O49" s="221"/>
      <c r="P49" s="221"/>
      <c r="Q49" s="221"/>
      <c r="R49" s="221">
        <f t="shared" ref="R49:R68" si="10">IF($N49&gt;$W$12,($N49-$W$12)*$Y$12,"ERROR")</f>
        <v>953.0136350436685</v>
      </c>
      <c r="S49" s="221"/>
      <c r="T49" s="221">
        <f t="shared" ref="T49:T60" si="11">SUM(N49:R49)</f>
        <v>16646.909541157209</v>
      </c>
      <c r="U49" s="223"/>
      <c r="V49" s="227"/>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row>
    <row r="50" spans="1:59" ht="17.5">
      <c r="A50" s="146"/>
      <c r="B50" s="226"/>
      <c r="C50" s="224" t="s">
        <v>1011</v>
      </c>
      <c r="D50" s="224">
        <v>7</v>
      </c>
      <c r="E50" s="220"/>
      <c r="F50" s="221">
        <v>15805.888919213976</v>
      </c>
      <c r="G50" s="221"/>
      <c r="H50" s="221">
        <f t="shared" si="6"/>
        <v>968.46867085152871</v>
      </c>
      <c r="I50" s="221"/>
      <c r="J50" s="221">
        <f t="shared" si="7"/>
        <v>3935.6663408842801</v>
      </c>
      <c r="K50" s="221"/>
      <c r="L50" s="221">
        <f t="shared" si="8"/>
        <v>20709.888919213976</v>
      </c>
      <c r="M50" s="221"/>
      <c r="N50" s="222">
        <f t="shared" si="9"/>
        <v>15805.888919213976</v>
      </c>
      <c r="O50" s="221"/>
      <c r="P50" s="221"/>
      <c r="Q50" s="221"/>
      <c r="R50" s="221">
        <f t="shared" si="10"/>
        <v>968.46867085152871</v>
      </c>
      <c r="S50" s="221"/>
      <c r="T50" s="221">
        <f t="shared" si="11"/>
        <v>16774.357590065505</v>
      </c>
      <c r="U50" s="223"/>
      <c r="V50" s="227"/>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row>
    <row r="51" spans="1:59" ht="17.5">
      <c r="A51" s="146"/>
      <c r="B51" s="226"/>
      <c r="C51" s="224" t="s">
        <v>1011</v>
      </c>
      <c r="D51" s="224">
        <v>8</v>
      </c>
      <c r="E51" s="220"/>
      <c r="F51" s="221">
        <v>16115.619596069871</v>
      </c>
      <c r="G51" s="221"/>
      <c r="H51" s="221">
        <f t="shared" si="6"/>
        <v>1011.2115042576423</v>
      </c>
      <c r="I51" s="221"/>
      <c r="J51" s="221">
        <f t="shared" si="7"/>
        <v>4012.7892794213981</v>
      </c>
      <c r="K51" s="221"/>
      <c r="L51" s="221">
        <f t="shared" si="8"/>
        <v>21139.619596069871</v>
      </c>
      <c r="M51" s="221"/>
      <c r="N51" s="222">
        <f t="shared" si="9"/>
        <v>16115.619596069871</v>
      </c>
      <c r="O51" s="221"/>
      <c r="P51" s="221"/>
      <c r="Q51" s="221"/>
      <c r="R51" s="221">
        <f t="shared" si="10"/>
        <v>1011.2115042576423</v>
      </c>
      <c r="S51" s="221"/>
      <c r="T51" s="221">
        <f t="shared" si="11"/>
        <v>17126.831100327512</v>
      </c>
      <c r="U51" s="223"/>
      <c r="V51" s="227"/>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row>
    <row r="52" spans="1:59" ht="17.5">
      <c r="A52" s="146"/>
      <c r="B52" s="226"/>
      <c r="C52" s="228" t="s">
        <v>1011</v>
      </c>
      <c r="D52" s="228">
        <v>9</v>
      </c>
      <c r="E52" s="229"/>
      <c r="F52" s="230">
        <v>16462.972925764192</v>
      </c>
      <c r="G52" s="230"/>
      <c r="H52" s="230">
        <f t="shared" si="6"/>
        <v>1059.1462637554587</v>
      </c>
      <c r="I52" s="230"/>
      <c r="J52" s="230">
        <f t="shared" si="7"/>
        <v>4099.280258515284</v>
      </c>
      <c r="K52" s="230"/>
      <c r="L52" s="230">
        <f t="shared" si="8"/>
        <v>21620.972925764192</v>
      </c>
      <c r="M52" s="230"/>
      <c r="N52" s="231">
        <f t="shared" si="9"/>
        <v>16462.972925764192</v>
      </c>
      <c r="O52" s="230"/>
      <c r="P52" s="230"/>
      <c r="Q52" s="230"/>
      <c r="R52" s="230">
        <f t="shared" si="10"/>
        <v>1059.1462637554587</v>
      </c>
      <c r="S52" s="230"/>
      <c r="T52" s="230">
        <f t="shared" si="11"/>
        <v>17522.11918951965</v>
      </c>
      <c r="U52" s="223"/>
      <c r="V52" s="225"/>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row>
    <row r="53" spans="1:59" ht="17.5">
      <c r="A53" s="146"/>
      <c r="B53" s="226"/>
      <c r="C53" s="224" t="s">
        <v>1018</v>
      </c>
      <c r="D53" s="224">
        <v>12</v>
      </c>
      <c r="E53" s="220"/>
      <c r="F53" s="221">
        <v>17381.665611353714</v>
      </c>
      <c r="G53" s="221"/>
      <c r="H53" s="221">
        <f t="shared" si="6"/>
        <v>1185.9258543668127</v>
      </c>
      <c r="I53" s="221"/>
      <c r="J53" s="221">
        <f t="shared" si="7"/>
        <v>4328.0347372270744</v>
      </c>
      <c r="K53" s="221"/>
      <c r="L53" s="221">
        <f t="shared" si="8"/>
        <v>22895.665611353714</v>
      </c>
      <c r="M53" s="221"/>
      <c r="N53" s="222">
        <f t="shared" si="9"/>
        <v>17381.665611353714</v>
      </c>
      <c r="O53" s="221"/>
      <c r="P53" s="221"/>
      <c r="Q53" s="221"/>
      <c r="R53" s="221">
        <f t="shared" si="10"/>
        <v>1185.9258543668127</v>
      </c>
      <c r="S53" s="221"/>
      <c r="T53" s="221">
        <f t="shared" si="11"/>
        <v>18567.591465720525</v>
      </c>
      <c r="U53" s="223"/>
      <c r="V53" s="227"/>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row>
    <row r="54" spans="1:59" ht="17.5">
      <c r="A54" s="146"/>
      <c r="B54" s="226"/>
      <c r="C54" s="224" t="s">
        <v>1019</v>
      </c>
      <c r="D54" s="224">
        <v>13</v>
      </c>
      <c r="E54" s="220"/>
      <c r="F54" s="221">
        <v>17799.889519650656</v>
      </c>
      <c r="G54" s="221"/>
      <c r="H54" s="221">
        <f t="shared" si="6"/>
        <v>1243.6407537117907</v>
      </c>
      <c r="I54" s="221"/>
      <c r="J54" s="221">
        <f t="shared" si="7"/>
        <v>4432.1724903930135</v>
      </c>
      <c r="K54" s="221"/>
      <c r="L54" s="221">
        <f t="shared" si="8"/>
        <v>23475.889519650656</v>
      </c>
      <c r="M54" s="221"/>
      <c r="N54" s="222">
        <f t="shared" si="9"/>
        <v>17799.889519650656</v>
      </c>
      <c r="O54" s="221"/>
      <c r="P54" s="221"/>
      <c r="Q54" s="221"/>
      <c r="R54" s="221">
        <f t="shared" si="10"/>
        <v>1243.6407537117907</v>
      </c>
      <c r="S54" s="221"/>
      <c r="T54" s="221">
        <f t="shared" si="11"/>
        <v>19043.530273362448</v>
      </c>
      <c r="U54" s="223"/>
      <c r="V54" s="227"/>
      <c r="W54" s="146"/>
      <c r="X54" s="146"/>
      <c r="Y54" s="146"/>
      <c r="Z54" s="891" t="s">
        <v>1232</v>
      </c>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row>
    <row r="55" spans="1:59" ht="17.5">
      <c r="A55" s="146"/>
      <c r="B55" s="226"/>
      <c r="C55" s="224" t="s">
        <v>1011</v>
      </c>
      <c r="D55" s="224">
        <v>14</v>
      </c>
      <c r="E55" s="220"/>
      <c r="F55" s="221">
        <v>18504.220578602624</v>
      </c>
      <c r="G55" s="221"/>
      <c r="H55" s="221">
        <f t="shared" si="6"/>
        <v>1340.8384398471624</v>
      </c>
      <c r="I55" s="221"/>
      <c r="J55" s="221">
        <f t="shared" si="7"/>
        <v>4607.550924072053</v>
      </c>
      <c r="K55" s="221"/>
      <c r="L55" s="221">
        <f t="shared" si="8"/>
        <v>24453.220578602624</v>
      </c>
      <c r="M55" s="232"/>
      <c r="N55" s="221">
        <f t="shared" si="9"/>
        <v>18504.220578602624</v>
      </c>
      <c r="O55" s="221"/>
      <c r="P55" s="221"/>
      <c r="Q55" s="221"/>
      <c r="R55" s="221">
        <f t="shared" si="10"/>
        <v>1340.8384398471624</v>
      </c>
      <c r="S55" s="221"/>
      <c r="T55" s="221">
        <f t="shared" si="11"/>
        <v>19845.059018449785</v>
      </c>
      <c r="U55" s="223"/>
      <c r="V55" s="227"/>
      <c r="W55" s="146"/>
      <c r="X55" s="146"/>
      <c r="Y55" s="146"/>
      <c r="Z55" s="891"/>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row>
    <row r="56" spans="1:59" ht="17.5">
      <c r="A56" s="146"/>
      <c r="B56" s="226"/>
      <c r="C56" s="243" t="s">
        <v>1011</v>
      </c>
      <c r="D56" s="243">
        <v>15</v>
      </c>
      <c r="E56" s="244"/>
      <c r="F56" s="245">
        <f>19276.7973799127*1.02</f>
        <v>19662.333327510954</v>
      </c>
      <c r="G56" s="245"/>
      <c r="H56" s="245">
        <f t="shared" si="6"/>
        <v>1500.6579991965118</v>
      </c>
      <c r="I56" s="245"/>
      <c r="J56" s="245">
        <f>$F56*($X$15+0.02)</f>
        <v>5289.1676651004473</v>
      </c>
      <c r="K56" s="245"/>
      <c r="L56" s="245">
        <f t="shared" si="8"/>
        <v>26452.333327510954</v>
      </c>
      <c r="M56" s="230"/>
      <c r="N56" s="231">
        <f t="shared" si="9"/>
        <v>19662.333327510954</v>
      </c>
      <c r="O56" s="230"/>
      <c r="P56" s="230"/>
      <c r="Q56" s="230"/>
      <c r="R56" s="230">
        <f t="shared" si="10"/>
        <v>1500.6579991965118</v>
      </c>
      <c r="S56" s="230"/>
      <c r="T56" s="230">
        <f t="shared" si="11"/>
        <v>21162.991326707466</v>
      </c>
      <c r="U56" s="223"/>
      <c r="V56" s="246" t="s">
        <v>1255</v>
      </c>
      <c r="W56" s="146"/>
      <c r="X56" s="146"/>
      <c r="Y56" s="146"/>
      <c r="Z56" s="891">
        <f>F56*1.25%</f>
        <v>245.77916659388694</v>
      </c>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row>
    <row r="57" spans="1:59" ht="17.5">
      <c r="A57" s="146"/>
      <c r="B57" s="226"/>
      <c r="C57" s="224" t="s">
        <v>1022</v>
      </c>
      <c r="D57" s="224">
        <v>15</v>
      </c>
      <c r="E57" s="220"/>
      <c r="F57" s="221">
        <v>19276.797379912667</v>
      </c>
      <c r="G57" s="221"/>
      <c r="H57" s="221">
        <f t="shared" si="6"/>
        <v>1447.454038427948</v>
      </c>
      <c r="I57" s="221"/>
      <c r="J57" s="221">
        <f t="shared" si="7"/>
        <v>4799.9225475982539</v>
      </c>
      <c r="K57" s="221"/>
      <c r="L57" s="221">
        <f t="shared" si="8"/>
        <v>25523.797379912667</v>
      </c>
      <c r="M57" s="221"/>
      <c r="N57" s="222">
        <f t="shared" si="9"/>
        <v>19276.797379912667</v>
      </c>
      <c r="O57" s="221"/>
      <c r="P57" s="221"/>
      <c r="Q57" s="221"/>
      <c r="R57" s="221">
        <f t="shared" si="10"/>
        <v>1447.454038427948</v>
      </c>
      <c r="S57" s="221"/>
      <c r="T57" s="221">
        <f t="shared" si="11"/>
        <v>20724.251418340617</v>
      </c>
      <c r="U57" s="223"/>
      <c r="V57" s="227"/>
      <c r="W57" s="146"/>
      <c r="X57" s="146"/>
      <c r="Y57" s="146"/>
      <c r="Z57" s="891"/>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row>
    <row r="58" spans="1:59" ht="17.5">
      <c r="A58" s="146"/>
      <c r="B58" s="226"/>
      <c r="C58" s="224" t="s">
        <v>1024</v>
      </c>
      <c r="D58" s="224">
        <v>16</v>
      </c>
      <c r="E58" s="220"/>
      <c r="F58" s="221">
        <v>20045.874399563323</v>
      </c>
      <c r="G58" s="221"/>
      <c r="H58" s="221">
        <f t="shared" si="6"/>
        <v>1553.5866671397387</v>
      </c>
      <c r="I58" s="221"/>
      <c r="J58" s="221">
        <f t="shared" si="7"/>
        <v>4991.4227254912676</v>
      </c>
      <c r="K58" s="221"/>
      <c r="L58" s="221">
        <f t="shared" si="8"/>
        <v>26590.874399563323</v>
      </c>
      <c r="M58" s="221"/>
      <c r="N58" s="222">
        <f t="shared" si="9"/>
        <v>20045.874399563323</v>
      </c>
      <c r="O58" s="221"/>
      <c r="P58" s="221"/>
      <c r="Q58" s="221"/>
      <c r="R58" s="221">
        <f t="shared" si="10"/>
        <v>1553.5866671397387</v>
      </c>
      <c r="S58" s="221"/>
      <c r="T58" s="221">
        <f t="shared" si="11"/>
        <v>21599.461066703061</v>
      </c>
      <c r="U58" s="223"/>
      <c r="V58" s="227"/>
      <c r="W58" s="146"/>
      <c r="X58" s="146"/>
      <c r="Y58" s="146"/>
      <c r="Z58" s="891"/>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row>
    <row r="59" spans="1:59" ht="17.5">
      <c r="A59" s="146"/>
      <c r="B59" s="226"/>
      <c r="C59" s="224" t="s">
        <v>1026</v>
      </c>
      <c r="D59" s="224">
        <v>17</v>
      </c>
      <c r="E59" s="220"/>
      <c r="F59" s="221">
        <v>20720.457314410483</v>
      </c>
      <c r="G59" s="221"/>
      <c r="H59" s="221">
        <f t="shared" si="6"/>
        <v>1646.6791093886468</v>
      </c>
      <c r="I59" s="221"/>
      <c r="J59" s="221">
        <f t="shared" si="7"/>
        <v>5159.39387128821</v>
      </c>
      <c r="K59" s="221"/>
      <c r="L59" s="221">
        <f t="shared" si="8"/>
        <v>27526.457314410483</v>
      </c>
      <c r="M59" s="221"/>
      <c r="N59" s="222">
        <f t="shared" si="9"/>
        <v>20720.457314410483</v>
      </c>
      <c r="O59" s="221"/>
      <c r="P59" s="221"/>
      <c r="Q59" s="221"/>
      <c r="R59" s="221">
        <f t="shared" si="10"/>
        <v>1646.6791093886468</v>
      </c>
      <c r="S59" s="221"/>
      <c r="T59" s="221">
        <f t="shared" si="11"/>
        <v>22367.136423799129</v>
      </c>
      <c r="U59" s="223"/>
      <c r="V59" s="227"/>
      <c r="W59" s="146"/>
      <c r="X59" s="146"/>
      <c r="Y59" s="146"/>
      <c r="Z59" s="891"/>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row>
    <row r="60" spans="1:59" ht="17.5">
      <c r="A60" s="146"/>
      <c r="B60" s="226"/>
      <c r="C60" s="228" t="s">
        <v>1011</v>
      </c>
      <c r="D60" s="228">
        <v>18</v>
      </c>
      <c r="E60" s="229"/>
      <c r="F60" s="230">
        <v>21393.290338427945</v>
      </c>
      <c r="G60" s="230"/>
      <c r="H60" s="230">
        <f t="shared" si="6"/>
        <v>1739.5300667030565</v>
      </c>
      <c r="I60" s="230"/>
      <c r="J60" s="230">
        <f t="shared" si="7"/>
        <v>5326.9292942685579</v>
      </c>
      <c r="K60" s="230"/>
      <c r="L60" s="230">
        <f t="shared" si="8"/>
        <v>28460.290338427945</v>
      </c>
      <c r="M60" s="230"/>
      <c r="N60" s="231">
        <f t="shared" si="9"/>
        <v>21393.290338427945</v>
      </c>
      <c r="O60" s="230"/>
      <c r="P60" s="230"/>
      <c r="Q60" s="230"/>
      <c r="R60" s="230">
        <f t="shared" si="10"/>
        <v>1739.5300667030565</v>
      </c>
      <c r="S60" s="230"/>
      <c r="T60" s="230">
        <f t="shared" si="11"/>
        <v>23132.820405131002</v>
      </c>
      <c r="U60" s="223"/>
      <c r="V60" s="227"/>
      <c r="W60" s="146"/>
      <c r="X60" s="146"/>
      <c r="Y60" s="146"/>
      <c r="Z60" s="891"/>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row>
    <row r="61" spans="1:59" ht="17.5">
      <c r="A61" s="146"/>
      <c r="B61" s="226"/>
      <c r="C61" s="224" t="s">
        <v>1028</v>
      </c>
      <c r="D61" s="224">
        <v>18</v>
      </c>
      <c r="E61" s="220"/>
      <c r="F61" s="221">
        <v>21393.290338427945</v>
      </c>
      <c r="G61" s="221"/>
      <c r="H61" s="221">
        <f t="shared" si="6"/>
        <v>1739.5300667030565</v>
      </c>
      <c r="I61" s="221"/>
      <c r="J61" s="221">
        <f t="shared" si="7"/>
        <v>5326.9292942685579</v>
      </c>
      <c r="K61" s="221"/>
      <c r="L61" s="221">
        <f>F61+ROUND(H61,0)+ROUND(J61,0)</f>
        <v>28460.290338427945</v>
      </c>
      <c r="M61" s="221"/>
      <c r="N61" s="222">
        <f>F61</f>
        <v>21393.290338427945</v>
      </c>
      <c r="O61" s="221"/>
      <c r="P61" s="221"/>
      <c r="Q61" s="221"/>
      <c r="R61" s="221">
        <f t="shared" si="10"/>
        <v>1739.5300667030565</v>
      </c>
      <c r="S61" s="221"/>
      <c r="T61" s="221">
        <f>SUM(N61:R61)</f>
        <v>23132.820405131002</v>
      </c>
      <c r="U61" s="223"/>
      <c r="V61" s="227"/>
      <c r="W61" s="146"/>
      <c r="X61" s="146"/>
      <c r="Y61" s="146"/>
      <c r="Z61" s="891"/>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row>
    <row r="62" spans="1:59" ht="17.5">
      <c r="A62" s="146"/>
      <c r="B62" s="226"/>
      <c r="C62" s="224" t="s">
        <v>1029</v>
      </c>
      <c r="D62" s="224">
        <v>19</v>
      </c>
      <c r="E62" s="220"/>
      <c r="F62" s="221">
        <v>22131.744268558956</v>
      </c>
      <c r="G62" s="221"/>
      <c r="H62" s="221">
        <f t="shared" si="6"/>
        <v>1841.4367090611361</v>
      </c>
      <c r="I62" s="221"/>
      <c r="J62" s="221">
        <f t="shared" si="7"/>
        <v>5510.8043228711804</v>
      </c>
      <c r="K62" s="221"/>
      <c r="L62" s="221">
        <f>F62+ROUND(H62,0)+ROUND(J62,0)</f>
        <v>29483.744268558956</v>
      </c>
      <c r="M62" s="221"/>
      <c r="N62" s="222">
        <f>F62</f>
        <v>22131.744268558956</v>
      </c>
      <c r="O62" s="221"/>
      <c r="P62" s="221"/>
      <c r="Q62" s="221"/>
      <c r="R62" s="221">
        <f t="shared" si="10"/>
        <v>1841.4367090611361</v>
      </c>
      <c r="S62" s="221"/>
      <c r="T62" s="221">
        <f>SUM(N62:R62)</f>
        <v>23973.180977620093</v>
      </c>
      <c r="U62" s="223"/>
      <c r="V62" s="227"/>
      <c r="W62" s="146"/>
      <c r="X62" s="146"/>
      <c r="Y62" s="146"/>
      <c r="Z62" s="891"/>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row>
    <row r="63" spans="1:59" ht="17.5">
      <c r="A63" s="146"/>
      <c r="B63" s="226"/>
      <c r="C63" s="224" t="s">
        <v>1030</v>
      </c>
      <c r="D63" s="224">
        <v>20</v>
      </c>
      <c r="E63" s="220"/>
      <c r="F63" s="221">
        <v>22808.077074235811</v>
      </c>
      <c r="G63" s="221"/>
      <c r="H63" s="221">
        <f t="shared" si="6"/>
        <v>1934.7706362445422</v>
      </c>
      <c r="I63" s="221"/>
      <c r="J63" s="221">
        <f t="shared" si="7"/>
        <v>5679.2111914847164</v>
      </c>
      <c r="K63" s="221"/>
      <c r="L63" s="221">
        <f>F63+ROUND(H63,0)+ROUND(J63,0)</f>
        <v>30422.077074235811</v>
      </c>
      <c r="M63" s="221"/>
      <c r="N63" s="222">
        <f>F63</f>
        <v>22808.077074235811</v>
      </c>
      <c r="O63" s="221"/>
      <c r="P63" s="221"/>
      <c r="Q63" s="221"/>
      <c r="R63" s="221">
        <f t="shared" si="10"/>
        <v>1934.7706362445422</v>
      </c>
      <c r="S63" s="221"/>
      <c r="T63" s="221">
        <f>SUM(N63:R63)</f>
        <v>24742.847710480353</v>
      </c>
      <c r="U63" s="223"/>
      <c r="V63" s="227"/>
      <c r="W63" s="146"/>
      <c r="X63" s="146"/>
      <c r="Y63" s="146"/>
      <c r="Z63" s="891"/>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row>
    <row r="64" spans="1:59" ht="17.5">
      <c r="A64" s="146"/>
      <c r="B64" s="226"/>
      <c r="C64" s="228" t="s">
        <v>1011</v>
      </c>
      <c r="D64" s="228">
        <v>21</v>
      </c>
      <c r="E64" s="229"/>
      <c r="F64" s="230">
        <v>23612.151910480352</v>
      </c>
      <c r="G64" s="230"/>
      <c r="H64" s="230">
        <f t="shared" si="6"/>
        <v>2045.7329636462887</v>
      </c>
      <c r="I64" s="230"/>
      <c r="J64" s="230">
        <f t="shared" si="7"/>
        <v>5879.425825709608</v>
      </c>
      <c r="K64" s="230"/>
      <c r="L64" s="230">
        <f>F64+ROUND(H64,0)+ROUND(J64,0)</f>
        <v>31537.151910480352</v>
      </c>
      <c r="M64" s="230"/>
      <c r="N64" s="231">
        <f>F64</f>
        <v>23612.151910480352</v>
      </c>
      <c r="O64" s="230"/>
      <c r="P64" s="230"/>
      <c r="Q64" s="230"/>
      <c r="R64" s="230">
        <f t="shared" si="10"/>
        <v>2045.7329636462887</v>
      </c>
      <c r="S64" s="230"/>
      <c r="T64" s="230">
        <f>SUM(N64:R64)</f>
        <v>25657.884874126641</v>
      </c>
      <c r="U64" s="223"/>
      <c r="V64" s="227"/>
      <c r="W64" s="146"/>
      <c r="X64" s="146"/>
      <c r="Y64" s="146"/>
      <c r="Z64" s="891"/>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row>
    <row r="65" spans="1:59" ht="17.5">
      <c r="A65" s="146"/>
      <c r="B65" s="226"/>
      <c r="C65" s="224" t="s">
        <v>1031</v>
      </c>
      <c r="D65" s="224">
        <v>21</v>
      </c>
      <c r="E65" s="220"/>
      <c r="F65" s="221">
        <v>23925.587555309736</v>
      </c>
      <c r="G65" s="221"/>
      <c r="H65" s="221">
        <f t="shared" si="6"/>
        <v>2088.9870826327437</v>
      </c>
      <c r="I65" s="221"/>
      <c r="J65" s="221">
        <f t="shared" si="7"/>
        <v>5957.471301272124</v>
      </c>
      <c r="K65" s="221"/>
      <c r="L65" s="221">
        <f t="shared" ref="L65:L66" si="12">F65+ROUND(H65,0)+ROUND(J65,0)</f>
        <v>31971.587555309736</v>
      </c>
      <c r="M65" s="221"/>
      <c r="N65" s="222">
        <f t="shared" ref="N65:N66" si="13">F65</f>
        <v>23925.587555309736</v>
      </c>
      <c r="O65" s="221"/>
      <c r="P65" s="221"/>
      <c r="Q65" s="221"/>
      <c r="R65" s="221">
        <f t="shared" si="10"/>
        <v>2088.9870826327437</v>
      </c>
      <c r="S65" s="221"/>
      <c r="T65" s="221">
        <f t="shared" ref="T65:T66" si="14">SUM(N65:R65)</f>
        <v>26014.574637942478</v>
      </c>
      <c r="U65" s="223"/>
      <c r="V65" s="227"/>
      <c r="W65" s="146"/>
      <c r="X65" s="146"/>
      <c r="Y65" s="146"/>
      <c r="Z65" s="891"/>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row>
    <row r="66" spans="1:59" ht="17.5">
      <c r="A66" s="146"/>
      <c r="B66" s="226"/>
      <c r="C66" s="224" t="s">
        <v>1032</v>
      </c>
      <c r="D66" s="224">
        <v>22</v>
      </c>
      <c r="E66" s="220"/>
      <c r="F66" s="221">
        <v>24739.44939159292</v>
      </c>
      <c r="G66" s="221"/>
      <c r="H66" s="221">
        <f t="shared" si="6"/>
        <v>2201.3000160398233</v>
      </c>
      <c r="I66" s="221"/>
      <c r="J66" s="221">
        <f t="shared" si="7"/>
        <v>6160.1228985066373</v>
      </c>
      <c r="K66" s="221"/>
      <c r="L66" s="221">
        <f t="shared" si="12"/>
        <v>33100.44939159292</v>
      </c>
      <c r="M66" s="221"/>
      <c r="N66" s="222">
        <f t="shared" si="13"/>
        <v>24739.44939159292</v>
      </c>
      <c r="O66" s="221"/>
      <c r="P66" s="221"/>
      <c r="Q66" s="221"/>
      <c r="R66" s="221">
        <f t="shared" si="10"/>
        <v>2201.3000160398233</v>
      </c>
      <c r="S66" s="221"/>
      <c r="T66" s="221">
        <f t="shared" si="14"/>
        <v>26940.749407632742</v>
      </c>
      <c r="U66" s="223"/>
      <c r="V66" s="227"/>
      <c r="W66" s="146"/>
      <c r="X66" s="146"/>
      <c r="Y66" s="146"/>
      <c r="Z66" s="891"/>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row>
    <row r="67" spans="1:59" ht="17.5">
      <c r="A67" s="146"/>
      <c r="B67" s="226"/>
      <c r="C67" s="224" t="s">
        <v>1033</v>
      </c>
      <c r="D67" s="224">
        <v>23</v>
      </c>
      <c r="E67" s="220"/>
      <c r="F67" s="221">
        <v>25815.732909292037</v>
      </c>
      <c r="G67" s="221"/>
      <c r="H67" s="221">
        <f t="shared" si="6"/>
        <v>2349.8271414823012</v>
      </c>
      <c r="I67" s="221"/>
      <c r="J67" s="221">
        <f t="shared" si="7"/>
        <v>6428.1174944137174</v>
      </c>
      <c r="K67" s="221"/>
      <c r="L67" s="221">
        <f>F67+ROUND(H67,0)+ROUND(J67,0)</f>
        <v>34593.732909292041</v>
      </c>
      <c r="M67" s="221"/>
      <c r="N67" s="222">
        <f>F67</f>
        <v>25815.732909292037</v>
      </c>
      <c r="O67" s="221"/>
      <c r="P67" s="221"/>
      <c r="Q67" s="221"/>
      <c r="R67" s="221">
        <f t="shared" si="10"/>
        <v>2349.8271414823012</v>
      </c>
      <c r="S67" s="221"/>
      <c r="T67" s="221">
        <f>SUM(N67:R67)</f>
        <v>28165.560050774337</v>
      </c>
      <c r="U67" s="223"/>
      <c r="V67" s="227"/>
      <c r="W67" s="146"/>
      <c r="X67" s="146"/>
      <c r="Y67" s="146"/>
      <c r="Z67" s="891"/>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row>
    <row r="68" spans="1:59" ht="17.5">
      <c r="A68" s="146"/>
      <c r="B68" s="226"/>
      <c r="C68" s="224" t="s">
        <v>1011</v>
      </c>
      <c r="D68" s="224">
        <v>24</v>
      </c>
      <c r="E68" s="220"/>
      <c r="F68" s="221">
        <v>26793.608296460181</v>
      </c>
      <c r="G68" s="221"/>
      <c r="H68" s="221">
        <f>IF($F68&gt;$W$12,($F68-$W$12)*$Y$12,"ERROR")</f>
        <v>2484.7739449115052</v>
      </c>
      <c r="I68" s="221"/>
      <c r="J68" s="221">
        <f t="shared" si="7"/>
        <v>6671.6084658185855</v>
      </c>
      <c r="K68" s="221"/>
      <c r="L68" s="221">
        <f t="shared" ref="L68" si="15">F68+ROUND(H68,0)+ROUND(J68,0)</f>
        <v>35950.608296460181</v>
      </c>
      <c r="M68" s="221"/>
      <c r="N68" s="222">
        <f t="shared" ref="N68" si="16">F68</f>
        <v>26793.608296460181</v>
      </c>
      <c r="O68" s="221"/>
      <c r="P68" s="221"/>
      <c r="Q68" s="221"/>
      <c r="R68" s="221">
        <f t="shared" si="10"/>
        <v>2484.7739449115052</v>
      </c>
      <c r="S68" s="221"/>
      <c r="T68" s="221">
        <f t="shared" ref="T68" si="17">SUM(N68:R68)</f>
        <v>29278.382241371684</v>
      </c>
      <c r="U68" s="223"/>
      <c r="V68" s="227"/>
      <c r="W68" s="146"/>
      <c r="X68" s="146"/>
      <c r="Y68" s="146"/>
      <c r="Z68" s="891"/>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row>
    <row r="69" spans="1:59" ht="18" thickBot="1">
      <c r="A69" s="146"/>
      <c r="B69" s="233"/>
      <c r="C69" s="234" t="s">
        <v>1256</v>
      </c>
      <c r="D69" s="235">
        <v>0.6</v>
      </c>
      <c r="E69" s="236"/>
      <c r="F69" s="237">
        <f>(F53-((F53-F52)*40%))*1.02</f>
        <v>17354.472307860262</v>
      </c>
      <c r="G69" s="238"/>
      <c r="H69" s="239">
        <f>IF($F69&gt;$W$12,($F69-$W$12)*$Y$12,"ERROR")</f>
        <v>1182.1731784847163</v>
      </c>
      <c r="I69" s="239"/>
      <c r="J69" s="239">
        <f>$F69*($X$15+0.02)</f>
        <v>4668.3530508144104</v>
      </c>
      <c r="K69" s="239"/>
      <c r="L69" s="239">
        <f>F69+ROUND(H69,0)+ROUND(J69,0)</f>
        <v>23204.472307860262</v>
      </c>
      <c r="M69" s="240"/>
      <c r="N69" s="241"/>
      <c r="O69" s="240"/>
      <c r="P69" s="240"/>
      <c r="Q69" s="240"/>
      <c r="R69" s="240"/>
      <c r="S69" s="240"/>
      <c r="T69" s="240"/>
      <c r="U69" s="242"/>
      <c r="V69" s="227" t="s">
        <v>1257</v>
      </c>
      <c r="W69" s="146"/>
      <c r="X69" s="146"/>
      <c r="Y69" s="146"/>
      <c r="Z69" s="891">
        <f>F69*1.25%</f>
        <v>216.93090384825328</v>
      </c>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row>
    <row r="70" spans="1:59">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row>
  </sheetData>
  <mergeCells count="5">
    <mergeCell ref="C9:D9"/>
    <mergeCell ref="B15:M15"/>
    <mergeCell ref="N15:U15"/>
    <mergeCell ref="B44:M44"/>
    <mergeCell ref="N44:U4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AI78"/>
  <sheetViews>
    <sheetView topLeftCell="A16" workbookViewId="0">
      <selection activeCell="V34" sqref="V34"/>
    </sheetView>
  </sheetViews>
  <sheetFormatPr defaultColWidth="9" defaultRowHeight="12.5"/>
  <cols>
    <col min="1" max="1" width="9.08203125" style="283" customWidth="1"/>
    <col min="2" max="4" width="9" style="283"/>
    <col min="5" max="5" width="19.83203125" style="283" bestFit="1" customWidth="1"/>
    <col min="6" max="6" width="9" style="283"/>
    <col min="7" max="7" width="7.25" style="283" bestFit="1" customWidth="1"/>
    <col min="8" max="9" width="9" style="283"/>
    <col min="10" max="10" width="16.33203125" style="283" customWidth="1"/>
    <col min="11" max="11" width="9" style="283"/>
    <col min="12" max="12" width="11.33203125" style="283" customWidth="1"/>
    <col min="13" max="15" width="9" style="283"/>
    <col min="16" max="16" width="8.33203125" style="283" bestFit="1" customWidth="1"/>
    <col min="17" max="18" width="9" style="283"/>
    <col min="19" max="19" width="8.33203125" style="283" bestFit="1" customWidth="1"/>
    <col min="20" max="20" width="8.58203125" style="283" bestFit="1" customWidth="1"/>
    <col min="21" max="16384" width="9" style="283"/>
  </cols>
  <sheetData>
    <row r="1" spans="1:35" ht="14">
      <c r="A1" s="180" t="s">
        <v>980</v>
      </c>
      <c r="B1" s="1187" t="s">
        <v>1259</v>
      </c>
      <c r="C1" s="1187"/>
      <c r="D1" s="1187"/>
      <c r="E1" s="1187"/>
      <c r="F1" s="1187"/>
      <c r="G1" s="1187"/>
      <c r="H1" s="1187"/>
      <c r="I1" s="1187"/>
      <c r="J1" s="1187"/>
      <c r="K1" s="1187"/>
      <c r="L1" s="1187"/>
      <c r="M1" s="1187"/>
      <c r="N1" s="1187"/>
      <c r="O1" s="1187"/>
      <c r="P1" s="1187"/>
      <c r="Q1" s="1187"/>
      <c r="R1" s="522"/>
      <c r="S1" s="185"/>
      <c r="T1" s="185"/>
      <c r="U1" s="185"/>
      <c r="V1" s="522"/>
      <c r="W1" s="185"/>
      <c r="X1" s="185"/>
      <c r="Y1" s="185"/>
      <c r="Z1" s="185"/>
      <c r="AA1" s="185"/>
      <c r="AB1" s="185"/>
      <c r="AC1" s="185"/>
      <c r="AD1" s="185"/>
      <c r="AE1" s="185"/>
      <c r="AF1" s="185"/>
      <c r="AG1" s="185"/>
      <c r="AH1" s="185"/>
      <c r="AI1" s="185"/>
    </row>
    <row r="2" spans="1:35" ht="13">
      <c r="A2" s="185"/>
      <c r="B2" s="523"/>
      <c r="C2" s="523"/>
      <c r="D2" s="523"/>
      <c r="E2" s="523"/>
      <c r="F2" s="524"/>
      <c r="G2" s="523"/>
      <c r="H2" s="523"/>
      <c r="I2" s="523"/>
      <c r="J2" s="523"/>
      <c r="K2" s="523"/>
      <c r="L2" s="523"/>
      <c r="M2" s="523"/>
      <c r="N2" s="523"/>
      <c r="O2" s="523"/>
      <c r="P2" s="523"/>
      <c r="Q2" s="523"/>
      <c r="R2" s="185"/>
      <c r="S2" s="525"/>
      <c r="T2" s="185"/>
      <c r="U2" s="185"/>
      <c r="V2" s="185"/>
      <c r="W2" s="185"/>
      <c r="X2" s="185"/>
      <c r="Y2" s="185"/>
      <c r="Z2" s="185"/>
      <c r="AA2" s="185"/>
      <c r="AB2" s="185"/>
      <c r="AC2" s="185"/>
      <c r="AD2" s="185"/>
      <c r="AE2" s="185"/>
      <c r="AF2" s="185"/>
      <c r="AG2" s="185"/>
      <c r="AH2" s="185"/>
      <c r="AI2" s="185"/>
    </row>
    <row r="3" spans="1:35" ht="15" customHeight="1">
      <c r="A3" s="180" t="s">
        <v>982</v>
      </c>
      <c r="B3" s="1188" t="s">
        <v>1260</v>
      </c>
      <c r="C3" s="1189"/>
      <c r="D3" s="1189"/>
      <c r="E3" s="1189"/>
      <c r="F3" s="1189"/>
      <c r="G3" s="1189"/>
      <c r="H3" s="1189"/>
      <c r="I3" s="1189"/>
      <c r="J3" s="1189"/>
      <c r="K3" s="1189"/>
      <c r="L3" s="1189"/>
      <c r="M3" s="1189"/>
      <c r="N3" s="1189"/>
      <c r="O3" s="1189"/>
      <c r="P3" s="1189"/>
      <c r="Q3" s="1190"/>
      <c r="R3" s="185"/>
      <c r="S3" s="185"/>
      <c r="T3" s="185"/>
      <c r="U3" s="185"/>
      <c r="V3" s="185"/>
      <c r="W3" s="185"/>
      <c r="X3" s="185"/>
      <c r="Y3" s="185"/>
      <c r="Z3" s="185"/>
      <c r="AA3" s="185"/>
      <c r="AB3" s="185"/>
      <c r="AC3" s="185"/>
      <c r="AD3" s="185"/>
      <c r="AE3" s="185"/>
      <c r="AF3" s="185"/>
      <c r="AG3" s="185"/>
      <c r="AH3" s="185"/>
      <c r="AI3" s="185"/>
    </row>
    <row r="4" spans="1:35" ht="14.25" customHeight="1">
      <c r="A4" s="185"/>
      <c r="B4" s="1191"/>
      <c r="C4" s="1192"/>
      <c r="D4" s="1192"/>
      <c r="E4" s="1192"/>
      <c r="F4" s="1192"/>
      <c r="G4" s="1192"/>
      <c r="H4" s="1192"/>
      <c r="I4" s="1192"/>
      <c r="J4" s="1192"/>
      <c r="K4" s="1192"/>
      <c r="L4" s="1192"/>
      <c r="M4" s="1192"/>
      <c r="N4" s="1192"/>
      <c r="O4" s="1192"/>
      <c r="P4" s="1192"/>
      <c r="Q4" s="1193"/>
      <c r="R4" s="185"/>
      <c r="S4" s="185"/>
      <c r="T4" s="185"/>
      <c r="U4" s="185"/>
      <c r="V4" s="185"/>
      <c r="W4" s="185"/>
      <c r="X4" s="185"/>
      <c r="Y4" s="185"/>
      <c r="Z4" s="185"/>
      <c r="AA4" s="185"/>
      <c r="AB4" s="185"/>
      <c r="AC4" s="185"/>
      <c r="AD4" s="185"/>
      <c r="AE4" s="185"/>
      <c r="AF4" s="185"/>
      <c r="AG4" s="185"/>
      <c r="AH4" s="185"/>
      <c r="AI4" s="185"/>
    </row>
    <row r="5" spans="1:35" ht="13" thickBot="1">
      <c r="A5" s="185"/>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row>
    <row r="6" spans="1:35" ht="14">
      <c r="A6" s="180" t="s">
        <v>989</v>
      </c>
      <c r="B6" s="1194" t="s">
        <v>1261</v>
      </c>
      <c r="C6" s="1195"/>
      <c r="D6" s="1195"/>
      <c r="E6" s="1195"/>
      <c r="F6" s="1195"/>
      <c r="G6" s="1195"/>
      <c r="H6" s="1195"/>
      <c r="I6" s="1195"/>
      <c r="J6" s="1195"/>
      <c r="K6" s="1195"/>
      <c r="L6" s="1195"/>
      <c r="M6" s="1195"/>
      <c r="N6" s="526"/>
      <c r="O6" s="526"/>
      <c r="P6" s="292"/>
      <c r="Q6" s="293"/>
      <c r="R6" s="185"/>
      <c r="S6" s="185"/>
      <c r="T6" s="185"/>
      <c r="U6" s="185"/>
      <c r="V6" s="185"/>
      <c r="W6" s="185"/>
      <c r="X6" s="185"/>
      <c r="Y6" s="185"/>
      <c r="Z6" s="185"/>
      <c r="AA6" s="185"/>
      <c r="AB6" s="185"/>
      <c r="AC6" s="185"/>
      <c r="AD6" s="185"/>
      <c r="AE6" s="185"/>
      <c r="AF6" s="185"/>
      <c r="AG6" s="185"/>
      <c r="AH6" s="185"/>
      <c r="AI6" s="185"/>
    </row>
    <row r="7" spans="1:35" ht="13.5" thickBot="1">
      <c r="A7" s="185"/>
      <c r="B7" s="295"/>
      <c r="C7" s="527" t="s">
        <v>990</v>
      </c>
      <c r="D7" s="296"/>
      <c r="E7" s="527" t="s">
        <v>1175</v>
      </c>
      <c r="F7" s="296"/>
      <c r="G7" s="296"/>
      <c r="H7" s="296"/>
      <c r="I7" s="296"/>
      <c r="J7" s="296"/>
      <c r="K7" s="296"/>
      <c r="L7" s="182"/>
      <c r="M7" s="182"/>
      <c r="N7" s="296"/>
      <c r="O7" s="296"/>
      <c r="P7" s="296"/>
      <c r="Q7" s="298"/>
      <c r="R7" s="185"/>
      <c r="S7" s="185"/>
      <c r="T7" s="185"/>
      <c r="U7" s="185"/>
      <c r="V7" s="185"/>
      <c r="W7" s="185"/>
      <c r="X7" s="185"/>
      <c r="Y7" s="185"/>
      <c r="Z7" s="185"/>
      <c r="AA7" s="185"/>
      <c r="AB7" s="185"/>
      <c r="AC7" s="185"/>
      <c r="AD7" s="185"/>
      <c r="AE7" s="185"/>
      <c r="AF7" s="185"/>
      <c r="AG7" s="185"/>
      <c r="AH7" s="185"/>
      <c r="AI7" s="185"/>
    </row>
    <row r="8" spans="1:35" ht="15">
      <c r="A8" s="185"/>
      <c r="B8" s="528"/>
      <c r="C8" s="527" t="s">
        <v>1262</v>
      </c>
      <c r="D8" s="529"/>
      <c r="E8" s="529"/>
      <c r="F8" s="296"/>
      <c r="G8" s="529"/>
      <c r="H8" s="296"/>
      <c r="I8" s="529"/>
      <c r="J8" s="529"/>
      <c r="K8" s="296"/>
      <c r="L8" s="296"/>
      <c r="M8" s="296"/>
      <c r="N8" s="296"/>
      <c r="O8" s="296"/>
      <c r="P8" s="296"/>
      <c r="Q8" s="298"/>
      <c r="R8" s="180" t="s">
        <v>993</v>
      </c>
      <c r="S8" s="530" t="s">
        <v>994</v>
      </c>
      <c r="T8" s="526">
        <v>1</v>
      </c>
      <c r="U8" s="531">
        <v>2</v>
      </c>
      <c r="V8" s="185"/>
      <c r="W8" s="185"/>
      <c r="X8" s="532" t="s">
        <v>994</v>
      </c>
      <c r="Y8" s="533">
        <v>1</v>
      </c>
      <c r="Z8" s="534">
        <v>2</v>
      </c>
      <c r="AA8" s="185"/>
      <c r="AB8" s="185"/>
      <c r="AC8" s="185"/>
      <c r="AD8" s="185"/>
      <c r="AE8" s="185"/>
      <c r="AF8" s="185"/>
      <c r="AG8" s="185"/>
      <c r="AH8" s="185"/>
      <c r="AI8" s="185"/>
    </row>
    <row r="9" spans="1:35" ht="16" thickBot="1">
      <c r="A9" s="185"/>
      <c r="B9" s="535" t="s">
        <v>1263</v>
      </c>
      <c r="C9" s="301"/>
      <c r="D9" s="301"/>
      <c r="E9" s="301"/>
      <c r="F9" s="302"/>
      <c r="G9" s="301"/>
      <c r="H9" s="302"/>
      <c r="I9" s="301"/>
      <c r="J9" s="301"/>
      <c r="K9" s="302"/>
      <c r="L9" s="302"/>
      <c r="M9" s="302"/>
      <c r="N9" s="302"/>
      <c r="O9" s="302"/>
      <c r="P9" s="302"/>
      <c r="Q9" s="303"/>
      <c r="R9" s="185"/>
      <c r="S9" s="295">
        <v>0</v>
      </c>
      <c r="T9" s="296">
        <v>0</v>
      </c>
      <c r="U9" s="298">
        <v>0</v>
      </c>
      <c r="V9" s="185"/>
      <c r="W9" s="185"/>
      <c r="X9" s="536">
        <v>0</v>
      </c>
      <c r="Y9" s="537">
        <v>0</v>
      </c>
      <c r="Z9" s="538">
        <v>0</v>
      </c>
      <c r="AA9" s="185"/>
      <c r="AB9" s="185"/>
      <c r="AC9" s="185"/>
      <c r="AD9" s="185"/>
      <c r="AE9" s="185"/>
      <c r="AF9" s="185"/>
      <c r="AG9" s="185"/>
      <c r="AH9" s="185"/>
      <c r="AI9" s="185"/>
    </row>
    <row r="10" spans="1:35" ht="16" thickBot="1">
      <c r="A10" s="185"/>
      <c r="B10" s="539"/>
      <c r="C10" s="539"/>
      <c r="D10" s="539"/>
      <c r="E10" s="539"/>
      <c r="F10" s="539"/>
      <c r="G10" s="539"/>
      <c r="H10" s="539"/>
      <c r="I10" s="539"/>
      <c r="J10" s="539"/>
      <c r="K10" s="539"/>
      <c r="L10" s="539"/>
      <c r="M10" s="539"/>
      <c r="N10" s="539"/>
      <c r="O10" s="539"/>
      <c r="P10" s="539"/>
      <c r="Q10" s="539"/>
      <c r="R10" s="185"/>
      <c r="S10" s="295"/>
      <c r="T10" s="540"/>
      <c r="U10" s="541"/>
      <c r="V10" s="185"/>
      <c r="W10" s="542" t="s">
        <v>999</v>
      </c>
      <c r="X10" s="536">
        <v>6240</v>
      </c>
      <c r="Y10" s="543">
        <v>0</v>
      </c>
      <c r="Z10" s="544">
        <v>0</v>
      </c>
      <c r="AA10" s="185"/>
      <c r="AB10" s="185"/>
      <c r="AC10" s="185"/>
      <c r="AD10" s="185"/>
      <c r="AE10" s="185"/>
      <c r="AF10" s="185"/>
      <c r="AG10" s="185"/>
      <c r="AH10" s="185"/>
      <c r="AI10" s="185"/>
    </row>
    <row r="11" spans="1:35" ht="15.5">
      <c r="A11" s="180" t="s">
        <v>1002</v>
      </c>
      <c r="B11" s="1196" t="s">
        <v>1180</v>
      </c>
      <c r="C11" s="1197"/>
      <c r="D11" s="1197"/>
      <c r="E11" s="1197"/>
      <c r="F11" s="1197"/>
      <c r="G11" s="1197"/>
      <c r="H11" s="1197"/>
      <c r="I11" s="1197"/>
      <c r="J11" s="1197"/>
      <c r="K11" s="1198"/>
      <c r="L11" s="1199" t="s">
        <v>1181</v>
      </c>
      <c r="M11" s="1200"/>
      <c r="N11" s="1200"/>
      <c r="O11" s="1200"/>
      <c r="P11" s="1200"/>
      <c r="Q11" s="1201"/>
      <c r="R11" s="185"/>
      <c r="S11" s="295"/>
      <c r="T11" s="540"/>
      <c r="U11" s="541"/>
      <c r="V11" s="185"/>
      <c r="W11" s="542" t="s">
        <v>1000</v>
      </c>
      <c r="X11" s="536">
        <v>8788</v>
      </c>
      <c r="Y11" s="543">
        <v>0</v>
      </c>
      <c r="Z11" s="544">
        <v>0</v>
      </c>
      <c r="AA11" s="185"/>
      <c r="AB11" s="185"/>
      <c r="AC11" s="185"/>
      <c r="AD11" s="185"/>
      <c r="AE11" s="185"/>
      <c r="AF11" s="185"/>
      <c r="AG11" s="185"/>
      <c r="AH11" s="185"/>
      <c r="AI11" s="185"/>
    </row>
    <row r="12" spans="1:35" ht="27.5">
      <c r="A12" s="185"/>
      <c r="B12" s="545"/>
      <c r="C12" s="296" t="s">
        <v>953</v>
      </c>
      <c r="D12" s="296" t="s">
        <v>1007</v>
      </c>
      <c r="E12" s="546" t="s">
        <v>1182</v>
      </c>
      <c r="F12" s="296"/>
      <c r="G12" s="547" t="s">
        <v>1009</v>
      </c>
      <c r="H12" s="296"/>
      <c r="I12" s="548" t="s">
        <v>1183</v>
      </c>
      <c r="J12" s="546" t="s">
        <v>77</v>
      </c>
      <c r="K12" s="527"/>
      <c r="L12" s="549" t="s">
        <v>1182</v>
      </c>
      <c r="M12" s="296"/>
      <c r="N12" s="547" t="s">
        <v>1009</v>
      </c>
      <c r="O12" s="296"/>
      <c r="P12" s="297" t="s">
        <v>77</v>
      </c>
      <c r="Q12" s="184"/>
      <c r="R12" s="185"/>
      <c r="S12" s="295">
        <v>8788</v>
      </c>
      <c r="T12" s="540">
        <v>0</v>
      </c>
      <c r="U12" s="541">
        <v>0.13800000000000001</v>
      </c>
      <c r="V12" s="185"/>
      <c r="W12" s="180" t="s">
        <v>1177</v>
      </c>
      <c r="X12" s="536">
        <v>50000</v>
      </c>
      <c r="Y12" s="543">
        <v>0</v>
      </c>
      <c r="Z12" s="544">
        <v>0.13800000000000001</v>
      </c>
      <c r="AA12" s="185"/>
      <c r="AB12" s="185"/>
      <c r="AC12" s="185"/>
      <c r="AD12" s="185"/>
      <c r="AE12" s="185"/>
      <c r="AF12" s="185"/>
      <c r="AG12" s="185"/>
      <c r="AH12" s="185"/>
      <c r="AI12" s="185"/>
    </row>
    <row r="13" spans="1:35" ht="16" thickBot="1">
      <c r="A13" s="185"/>
      <c r="B13" s="550"/>
      <c r="C13" s="551"/>
      <c r="D13" s="551"/>
      <c r="E13" s="551"/>
      <c r="F13" s="551"/>
      <c r="G13" s="551"/>
      <c r="H13" s="551"/>
      <c r="I13" s="551"/>
      <c r="J13" s="551"/>
      <c r="K13" s="551"/>
      <c r="L13" s="552"/>
      <c r="M13" s="551"/>
      <c r="N13" s="551"/>
      <c r="O13" s="551"/>
      <c r="P13" s="551"/>
      <c r="Q13" s="203"/>
      <c r="R13" s="185"/>
      <c r="S13" s="295"/>
      <c r="T13" s="540"/>
      <c r="U13" s="541"/>
      <c r="V13" s="185"/>
      <c r="W13" s="185"/>
      <c r="X13" s="536"/>
      <c r="Y13" s="543"/>
      <c r="Z13" s="544"/>
      <c r="AA13" s="185"/>
      <c r="AB13" s="185"/>
      <c r="AC13" s="185"/>
      <c r="AD13" s="185"/>
      <c r="AE13" s="185"/>
      <c r="AF13" s="185"/>
      <c r="AG13" s="185"/>
      <c r="AH13" s="185"/>
      <c r="AI13" s="185"/>
    </row>
    <row r="14" spans="1:35" ht="16" thickBot="1">
      <c r="A14" s="185"/>
      <c r="B14" s="553"/>
      <c r="C14" s="554"/>
      <c r="D14" s="554"/>
      <c r="E14" s="554"/>
      <c r="F14" s="554"/>
      <c r="G14" s="554"/>
      <c r="H14" s="554"/>
      <c r="I14" s="554"/>
      <c r="J14" s="554"/>
      <c r="K14" s="555"/>
      <c r="L14" s="554"/>
      <c r="M14" s="554"/>
      <c r="N14" s="554"/>
      <c r="O14" s="554"/>
      <c r="P14" s="554"/>
      <c r="Q14" s="555"/>
      <c r="R14" s="185"/>
      <c r="S14" s="556" t="s">
        <v>1005</v>
      </c>
      <c r="T14" s="557">
        <v>0.23680000000000001</v>
      </c>
      <c r="U14" s="303"/>
      <c r="V14" s="185"/>
      <c r="W14" s="185"/>
      <c r="X14" s="558" t="s">
        <v>1005</v>
      </c>
      <c r="Y14" s="559">
        <v>0.23680000000000001</v>
      </c>
      <c r="Z14" s="560"/>
      <c r="AA14" s="185"/>
      <c r="AB14" s="185"/>
      <c r="AC14" s="185"/>
      <c r="AD14" s="185"/>
      <c r="AE14" s="185"/>
      <c r="AF14" s="185"/>
      <c r="AG14" s="185"/>
      <c r="AH14" s="185"/>
      <c r="AI14" s="185"/>
    </row>
    <row r="15" spans="1:35" ht="15.5">
      <c r="A15" s="185"/>
      <c r="B15" s="545"/>
      <c r="C15" s="561"/>
      <c r="D15" s="330" t="s">
        <v>1264</v>
      </c>
      <c r="E15" s="562">
        <v>42194.287499999999</v>
      </c>
      <c r="F15" s="345"/>
      <c r="G15" s="345">
        <f>IF($L15&gt;$S$12,($E15-$S$12)*U$12,"ERROR")</f>
        <v>4610.0676750000002</v>
      </c>
      <c r="H15" s="345"/>
      <c r="I15" s="345">
        <f t="shared" ref="I15:I57" si="0">$E15*$T$14</f>
        <v>9991.6072800000002</v>
      </c>
      <c r="J15" s="345">
        <f>E15+ROUND(G15,0)+ROUND(I15,0)</f>
        <v>56796.287499999999</v>
      </c>
      <c r="K15" s="346"/>
      <c r="L15" s="345">
        <f>E15</f>
        <v>42194.287499999999</v>
      </c>
      <c r="M15" s="345"/>
      <c r="N15" s="345">
        <f t="shared" ref="N15:N58" si="1">IF($L15&gt;$S$12,($L15-$S$12)*$U$12,"ERROR")</f>
        <v>4610.0676750000002</v>
      </c>
      <c r="O15" s="345"/>
      <c r="P15" s="345">
        <f t="shared" ref="P15:P58" si="2">SUM(L15:N15)</f>
        <v>46804.355174999997</v>
      </c>
      <c r="Q15" s="184"/>
      <c r="R15" s="185"/>
      <c r="S15" s="563"/>
      <c r="T15" s="564"/>
      <c r="U15" s="185"/>
      <c r="V15" s="185"/>
      <c r="W15" s="185"/>
      <c r="X15" s="185"/>
      <c r="Y15" s="185"/>
      <c r="Z15" s="185"/>
      <c r="AA15" s="185"/>
      <c r="AB15" s="185"/>
      <c r="AC15" s="185"/>
      <c r="AD15" s="185"/>
      <c r="AE15" s="185"/>
      <c r="AF15" s="185"/>
      <c r="AG15" s="185"/>
      <c r="AH15" s="185"/>
      <c r="AI15" s="185"/>
    </row>
    <row r="16" spans="1:35" ht="15.5">
      <c r="A16" s="185"/>
      <c r="B16" s="181"/>
      <c r="C16" s="358"/>
      <c r="D16" s="330" t="s">
        <v>1265</v>
      </c>
      <c r="E16" s="562">
        <v>43250.557500000003</v>
      </c>
      <c r="F16" s="345"/>
      <c r="G16" s="345">
        <f t="shared" ref="G16:G57" si="3">IF($L16&gt;$S$12,($E16-$S$12)*$U$12,"ERROR")</f>
        <v>4755.8329350000004</v>
      </c>
      <c r="H16" s="345"/>
      <c r="I16" s="345">
        <f t="shared" si="0"/>
        <v>10241.732016000002</v>
      </c>
      <c r="J16" s="345">
        <f t="shared" ref="J16:J57" si="4">E16+ROUND(G16,0)+ROUND(I16,0)</f>
        <v>58248.557500000003</v>
      </c>
      <c r="K16" s="346"/>
      <c r="L16" s="345">
        <f t="shared" ref="L16:L57" si="5">E16</f>
        <v>43250.557500000003</v>
      </c>
      <c r="M16" s="345"/>
      <c r="N16" s="345">
        <f t="shared" si="1"/>
        <v>4755.8329350000004</v>
      </c>
      <c r="O16" s="345"/>
      <c r="P16" s="345">
        <f t="shared" si="2"/>
        <v>48006.390435000001</v>
      </c>
      <c r="Q16" s="184"/>
      <c r="R16" s="185"/>
      <c r="S16" s="225"/>
      <c r="T16" s="565"/>
      <c r="U16" s="185"/>
      <c r="V16" s="185"/>
      <c r="W16" s="185"/>
      <c r="X16" s="185"/>
      <c r="Y16" s="185"/>
      <c r="Z16" s="185"/>
      <c r="AA16" s="185"/>
      <c r="AB16" s="185"/>
      <c r="AC16" s="185"/>
      <c r="AD16" s="185"/>
      <c r="AE16" s="185"/>
      <c r="AF16" s="185"/>
      <c r="AG16" s="185"/>
      <c r="AH16" s="185"/>
      <c r="AI16" s="185"/>
    </row>
    <row r="17" spans="1:35" ht="15.5">
      <c r="A17" s="185"/>
      <c r="B17" s="181"/>
      <c r="C17" s="358"/>
      <c r="D17" s="330" t="s">
        <v>1266</v>
      </c>
      <c r="E17" s="562">
        <v>44330.46</v>
      </c>
      <c r="F17" s="345"/>
      <c r="G17" s="345">
        <f t="shared" si="3"/>
        <v>4904.8594800000001</v>
      </c>
      <c r="H17" s="345"/>
      <c r="I17" s="345">
        <f t="shared" si="0"/>
        <v>10497.452928000001</v>
      </c>
      <c r="J17" s="345">
        <f t="shared" si="4"/>
        <v>59732.46</v>
      </c>
      <c r="K17" s="346"/>
      <c r="L17" s="345">
        <f t="shared" si="5"/>
        <v>44330.46</v>
      </c>
      <c r="M17" s="345"/>
      <c r="N17" s="345">
        <f t="shared" si="1"/>
        <v>4904.8594800000001</v>
      </c>
      <c r="O17" s="345"/>
      <c r="P17" s="345">
        <f t="shared" si="2"/>
        <v>49235.319479999998</v>
      </c>
      <c r="Q17" s="184"/>
      <c r="R17" s="185"/>
      <c r="S17" s="225"/>
      <c r="T17" s="185"/>
      <c r="U17" s="185"/>
      <c r="V17" s="185"/>
      <c r="W17" s="185"/>
      <c r="X17" s="185"/>
      <c r="Y17" s="185"/>
      <c r="Z17" s="185"/>
      <c r="AA17" s="185"/>
      <c r="AB17" s="185"/>
      <c r="AC17" s="185"/>
      <c r="AD17" s="185"/>
      <c r="AE17" s="185"/>
      <c r="AF17" s="185"/>
      <c r="AG17" s="185"/>
      <c r="AH17" s="185"/>
      <c r="AI17" s="185"/>
    </row>
    <row r="18" spans="1:35" ht="15.5">
      <c r="A18" s="185"/>
      <c r="B18" s="181"/>
      <c r="C18" s="358"/>
      <c r="D18" s="330" t="s">
        <v>1267</v>
      </c>
      <c r="E18" s="562">
        <v>45433.995000000003</v>
      </c>
      <c r="F18" s="345"/>
      <c r="G18" s="345">
        <f t="shared" si="3"/>
        <v>5057.1473100000012</v>
      </c>
      <c r="H18" s="345"/>
      <c r="I18" s="345">
        <f t="shared" si="0"/>
        <v>10758.770016</v>
      </c>
      <c r="J18" s="345">
        <f t="shared" si="4"/>
        <v>61249.995000000003</v>
      </c>
      <c r="K18" s="346"/>
      <c r="L18" s="345">
        <f t="shared" si="5"/>
        <v>45433.995000000003</v>
      </c>
      <c r="M18" s="345"/>
      <c r="N18" s="345">
        <f t="shared" si="1"/>
        <v>5057.1473100000012</v>
      </c>
      <c r="O18" s="345"/>
      <c r="P18" s="345">
        <f t="shared" si="2"/>
        <v>50491.142310000003</v>
      </c>
      <c r="Q18" s="184"/>
      <c r="R18" s="185"/>
      <c r="S18" s="225" t="s">
        <v>1013</v>
      </c>
      <c r="T18" s="185"/>
      <c r="U18" s="185"/>
      <c r="V18" s="185"/>
      <c r="W18" s="185"/>
      <c r="X18" s="185"/>
      <c r="Y18" s="185"/>
      <c r="Z18" s="185"/>
      <c r="AA18" s="185"/>
      <c r="AB18" s="185"/>
      <c r="AC18" s="185"/>
      <c r="AD18" s="185"/>
      <c r="AE18" s="185"/>
      <c r="AF18" s="185"/>
      <c r="AG18" s="185"/>
      <c r="AH18" s="185"/>
      <c r="AI18" s="185"/>
    </row>
    <row r="19" spans="1:35" ht="15.5">
      <c r="A19" s="185"/>
      <c r="B19" s="181"/>
      <c r="C19" s="358"/>
      <c r="D19" s="330" t="s">
        <v>924</v>
      </c>
      <c r="E19" s="562">
        <v>46565.272499999999</v>
      </c>
      <c r="F19" s="345"/>
      <c r="G19" s="345">
        <f t="shared" si="3"/>
        <v>5213.2636050000001</v>
      </c>
      <c r="H19" s="345"/>
      <c r="I19" s="345">
        <f t="shared" si="0"/>
        <v>11026.656528</v>
      </c>
      <c r="J19" s="581">
        <f t="shared" si="4"/>
        <v>62805.272499999999</v>
      </c>
      <c r="K19" s="346"/>
      <c r="L19" s="345">
        <f t="shared" si="5"/>
        <v>46565.272499999999</v>
      </c>
      <c r="M19" s="345"/>
      <c r="N19" s="345">
        <f t="shared" si="1"/>
        <v>5213.2636050000001</v>
      </c>
      <c r="O19" s="345"/>
      <c r="P19" s="345">
        <f t="shared" si="2"/>
        <v>51778.536104999999</v>
      </c>
      <c r="Q19" s="184"/>
      <c r="R19" s="566"/>
      <c r="S19" s="225" t="s">
        <v>1015</v>
      </c>
      <c r="T19" s="185"/>
      <c r="U19" s="185"/>
      <c r="V19" s="185"/>
      <c r="W19" s="185"/>
      <c r="X19" s="185"/>
      <c r="Y19" s="185"/>
      <c r="Z19" s="185"/>
      <c r="AA19" s="185"/>
      <c r="AB19" s="185"/>
      <c r="AC19" s="185"/>
      <c r="AD19" s="185"/>
      <c r="AE19" s="185"/>
      <c r="AF19" s="185"/>
      <c r="AG19" s="185"/>
      <c r="AH19" s="185"/>
      <c r="AI19" s="185"/>
    </row>
    <row r="20" spans="1:35" ht="15.5">
      <c r="A20" s="185"/>
      <c r="B20" s="181"/>
      <c r="C20" s="358"/>
      <c r="D20" s="330" t="s">
        <v>1268</v>
      </c>
      <c r="E20" s="562">
        <v>47734.567499999997</v>
      </c>
      <c r="F20" s="345"/>
      <c r="G20" s="345">
        <f t="shared" si="3"/>
        <v>5374.6263150000004</v>
      </c>
      <c r="H20" s="345"/>
      <c r="I20" s="345">
        <f t="shared" si="0"/>
        <v>11303.545584</v>
      </c>
      <c r="J20" s="345">
        <f t="shared" si="4"/>
        <v>64413.567499999997</v>
      </c>
      <c r="K20" s="346"/>
      <c r="L20" s="345">
        <f t="shared" si="5"/>
        <v>47734.567499999997</v>
      </c>
      <c r="M20" s="345"/>
      <c r="N20" s="345">
        <f t="shared" si="1"/>
        <v>5374.6263150000004</v>
      </c>
      <c r="O20" s="345"/>
      <c r="P20" s="345">
        <f t="shared" si="2"/>
        <v>53109.193814999999</v>
      </c>
      <c r="Q20" s="184"/>
      <c r="R20" s="566"/>
      <c r="S20" s="225"/>
      <c r="T20" s="185"/>
      <c r="U20" s="185"/>
      <c r="V20" s="185"/>
      <c r="W20" s="185"/>
      <c r="X20" s="185"/>
      <c r="Y20" s="185"/>
      <c r="Z20" s="185"/>
      <c r="AA20" s="185"/>
      <c r="AB20" s="185"/>
      <c r="AC20" s="185"/>
      <c r="AD20" s="185"/>
      <c r="AE20" s="185"/>
      <c r="AF20" s="185"/>
      <c r="AG20" s="185"/>
      <c r="AH20" s="185"/>
      <c r="AI20" s="185"/>
    </row>
    <row r="21" spans="1:35" ht="15.5">
      <c r="A21" s="185"/>
      <c r="B21" s="567"/>
      <c r="C21" s="358"/>
      <c r="D21" s="330" t="s">
        <v>1269</v>
      </c>
      <c r="E21" s="562">
        <v>49018.942499999997</v>
      </c>
      <c r="F21" s="345"/>
      <c r="G21" s="345">
        <f t="shared" si="3"/>
        <v>5551.8700650000001</v>
      </c>
      <c r="H21" s="345"/>
      <c r="I21" s="345">
        <f t="shared" si="0"/>
        <v>11607.685584000001</v>
      </c>
      <c r="J21" s="345">
        <f t="shared" si="4"/>
        <v>66178.942500000005</v>
      </c>
      <c r="K21" s="346"/>
      <c r="L21" s="345">
        <f t="shared" si="5"/>
        <v>49018.942499999997</v>
      </c>
      <c r="M21" s="345"/>
      <c r="N21" s="345">
        <f t="shared" si="1"/>
        <v>5551.8700650000001</v>
      </c>
      <c r="O21" s="345"/>
      <c r="P21" s="345">
        <f t="shared" si="2"/>
        <v>54570.812565</v>
      </c>
      <c r="Q21" s="184"/>
      <c r="R21" s="566"/>
      <c r="S21" s="225" t="s">
        <v>1270</v>
      </c>
      <c r="T21" s="185"/>
      <c r="U21" s="185"/>
      <c r="V21" s="185"/>
      <c r="W21" s="185"/>
      <c r="X21" s="185"/>
      <c r="Y21" s="185"/>
      <c r="Z21" s="185"/>
      <c r="AA21" s="185"/>
      <c r="AB21" s="185"/>
      <c r="AC21" s="185"/>
      <c r="AD21" s="185"/>
      <c r="AE21" s="185"/>
      <c r="AF21" s="185"/>
      <c r="AG21" s="185"/>
      <c r="AH21" s="185"/>
      <c r="AI21" s="185"/>
    </row>
    <row r="22" spans="1:35" ht="15.5">
      <c r="A22" s="185"/>
      <c r="B22" s="181"/>
      <c r="C22" s="358"/>
      <c r="D22" s="330" t="s">
        <v>1271</v>
      </c>
      <c r="E22" s="562">
        <v>50150.22</v>
      </c>
      <c r="F22" s="345"/>
      <c r="G22" s="345">
        <f t="shared" si="3"/>
        <v>5707.9863600000008</v>
      </c>
      <c r="H22" s="345"/>
      <c r="I22" s="345">
        <f t="shared" si="0"/>
        <v>11875.572096000002</v>
      </c>
      <c r="J22" s="345">
        <f t="shared" si="4"/>
        <v>67734.22</v>
      </c>
      <c r="K22" s="346"/>
      <c r="L22" s="345">
        <f t="shared" si="5"/>
        <v>50150.22</v>
      </c>
      <c r="M22" s="345"/>
      <c r="N22" s="345">
        <f t="shared" si="1"/>
        <v>5707.9863600000008</v>
      </c>
      <c r="O22" s="345"/>
      <c r="P22" s="345">
        <f t="shared" si="2"/>
        <v>55858.206360000004</v>
      </c>
      <c r="Q22" s="184"/>
      <c r="R22" s="566"/>
      <c r="S22" s="225" t="s">
        <v>1017</v>
      </c>
      <c r="T22" s="185"/>
      <c r="U22" s="185"/>
      <c r="V22" s="185"/>
      <c r="W22" s="185"/>
      <c r="X22" s="185"/>
      <c r="Y22" s="185"/>
      <c r="Z22" s="185"/>
      <c r="AA22" s="185"/>
      <c r="AB22" s="185"/>
      <c r="AC22" s="185"/>
      <c r="AD22" s="185"/>
      <c r="AE22" s="185"/>
      <c r="AF22" s="185"/>
      <c r="AG22" s="185"/>
      <c r="AH22" s="185"/>
      <c r="AI22" s="185"/>
    </row>
    <row r="23" spans="1:35" ht="15.5">
      <c r="A23" s="185"/>
      <c r="B23" s="181"/>
      <c r="C23" s="358"/>
      <c r="D23" s="330" t="s">
        <v>919</v>
      </c>
      <c r="E23" s="562">
        <v>51401.714999999997</v>
      </c>
      <c r="F23" s="345"/>
      <c r="G23" s="345">
        <f t="shared" si="3"/>
        <v>5880.6926700000004</v>
      </c>
      <c r="H23" s="345"/>
      <c r="I23" s="345">
        <f t="shared" si="0"/>
        <v>12171.926111999999</v>
      </c>
      <c r="J23" s="345">
        <f t="shared" si="4"/>
        <v>69454.714999999997</v>
      </c>
      <c r="K23" s="346"/>
      <c r="L23" s="345">
        <f t="shared" si="5"/>
        <v>51401.714999999997</v>
      </c>
      <c r="M23" s="345"/>
      <c r="N23" s="345">
        <f t="shared" si="1"/>
        <v>5880.6926700000004</v>
      </c>
      <c r="O23" s="345"/>
      <c r="P23" s="345">
        <f t="shared" si="2"/>
        <v>57282.407670000001</v>
      </c>
      <c r="Q23" s="184"/>
      <c r="R23" s="566"/>
      <c r="S23" s="225"/>
      <c r="T23" s="185"/>
      <c r="U23" s="185"/>
      <c r="V23" s="185"/>
      <c r="W23" s="185"/>
      <c r="X23" s="185"/>
      <c r="Y23" s="185"/>
      <c r="Z23" s="185"/>
      <c r="AA23" s="185"/>
      <c r="AB23" s="185"/>
      <c r="AC23" s="185"/>
      <c r="AD23" s="185"/>
      <c r="AE23" s="185"/>
      <c r="AF23" s="185"/>
      <c r="AG23" s="185"/>
      <c r="AH23" s="185"/>
      <c r="AI23" s="185"/>
    </row>
    <row r="24" spans="1:35" ht="15.5">
      <c r="A24" s="185"/>
      <c r="B24" s="181"/>
      <c r="C24" s="358"/>
      <c r="D24" s="330" t="s">
        <v>917</v>
      </c>
      <c r="E24" s="562">
        <v>52722.052499999998</v>
      </c>
      <c r="F24" s="345"/>
      <c r="G24" s="345">
        <f t="shared" si="3"/>
        <v>6062.8992450000005</v>
      </c>
      <c r="H24" s="345"/>
      <c r="I24" s="345">
        <f t="shared" si="0"/>
        <v>12484.582032</v>
      </c>
      <c r="J24" s="581">
        <f t="shared" si="4"/>
        <v>71270.052499999991</v>
      </c>
      <c r="K24" s="346"/>
      <c r="L24" s="345">
        <f t="shared" si="5"/>
        <v>52722.052499999998</v>
      </c>
      <c r="M24" s="345"/>
      <c r="N24" s="345">
        <f t="shared" si="1"/>
        <v>6062.8992450000005</v>
      </c>
      <c r="O24" s="345"/>
      <c r="P24" s="345">
        <f t="shared" si="2"/>
        <v>58784.951744999998</v>
      </c>
      <c r="Q24" s="184"/>
      <c r="R24" s="566"/>
      <c r="S24" s="225" t="s">
        <v>1020</v>
      </c>
      <c r="T24" s="185"/>
      <c r="U24" s="185"/>
      <c r="V24" s="185"/>
      <c r="W24" s="185"/>
      <c r="X24" s="185"/>
      <c r="Y24" s="185"/>
      <c r="Z24" s="185"/>
      <c r="AA24" s="185"/>
      <c r="AB24" s="185"/>
      <c r="AC24" s="185"/>
      <c r="AD24" s="185"/>
      <c r="AE24" s="185"/>
      <c r="AF24" s="185"/>
      <c r="AG24" s="185"/>
      <c r="AH24" s="185"/>
      <c r="AI24" s="185"/>
    </row>
    <row r="25" spans="1:35" ht="15.5">
      <c r="A25" s="185"/>
      <c r="B25" s="181"/>
      <c r="C25" s="358"/>
      <c r="D25" s="330" t="s">
        <v>1272</v>
      </c>
      <c r="E25" s="562">
        <v>54090.682499999995</v>
      </c>
      <c r="F25" s="345"/>
      <c r="G25" s="345">
        <f t="shared" si="3"/>
        <v>6251.7701850000003</v>
      </c>
      <c r="H25" s="345"/>
      <c r="I25" s="345">
        <f t="shared" si="0"/>
        <v>12808.673616</v>
      </c>
      <c r="J25" s="345">
        <f t="shared" si="4"/>
        <v>73151.682499999995</v>
      </c>
      <c r="K25" s="346"/>
      <c r="L25" s="345">
        <f t="shared" si="5"/>
        <v>54090.682499999995</v>
      </c>
      <c r="M25" s="345"/>
      <c r="N25" s="345">
        <f t="shared" si="1"/>
        <v>6251.7701850000003</v>
      </c>
      <c r="O25" s="345"/>
      <c r="P25" s="345">
        <f t="shared" si="2"/>
        <v>60342.452684999997</v>
      </c>
      <c r="Q25" s="184"/>
      <c r="R25" s="566"/>
      <c r="S25" s="225" t="s">
        <v>1190</v>
      </c>
      <c r="T25" s="185"/>
      <c r="U25" s="185"/>
      <c r="V25" s="185"/>
      <c r="W25" s="185"/>
      <c r="X25" s="185"/>
      <c r="Y25" s="185"/>
      <c r="Z25" s="185"/>
      <c r="AA25" s="185"/>
      <c r="AB25" s="185"/>
      <c r="AC25" s="185"/>
      <c r="AD25" s="185"/>
      <c r="AE25" s="185"/>
      <c r="AF25" s="185"/>
      <c r="AG25" s="185"/>
      <c r="AH25" s="185"/>
      <c r="AI25" s="185"/>
    </row>
    <row r="26" spans="1:35" ht="15.5">
      <c r="A26" s="185"/>
      <c r="B26" s="181"/>
      <c r="C26" s="358"/>
      <c r="D26" s="330" t="s">
        <v>1273</v>
      </c>
      <c r="E26" s="562">
        <v>55337.039999999994</v>
      </c>
      <c r="F26" s="345"/>
      <c r="G26" s="345">
        <f t="shared" si="3"/>
        <v>6423.7675199999994</v>
      </c>
      <c r="H26" s="345"/>
      <c r="I26" s="345">
        <f t="shared" si="0"/>
        <v>13103.811071999999</v>
      </c>
      <c r="J26" s="581">
        <f t="shared" si="4"/>
        <v>74865.039999999994</v>
      </c>
      <c r="K26" s="346"/>
      <c r="L26" s="345">
        <f t="shared" si="5"/>
        <v>55337.039999999994</v>
      </c>
      <c r="M26" s="345"/>
      <c r="N26" s="345">
        <f t="shared" si="1"/>
        <v>6423.7675199999994</v>
      </c>
      <c r="O26" s="345"/>
      <c r="P26" s="345">
        <f t="shared" si="2"/>
        <v>61760.807519999995</v>
      </c>
      <c r="Q26" s="184"/>
      <c r="R26" s="566"/>
      <c r="S26" s="225"/>
      <c r="T26" s="185"/>
      <c r="U26" s="185"/>
      <c r="V26" s="185"/>
      <c r="W26" s="185"/>
      <c r="X26" s="185"/>
      <c r="Y26" s="185"/>
      <c r="Z26" s="185"/>
      <c r="AA26" s="185"/>
      <c r="AB26" s="185"/>
      <c r="AC26" s="185"/>
      <c r="AD26" s="185"/>
      <c r="AE26" s="185"/>
      <c r="AF26" s="185"/>
      <c r="AG26" s="185"/>
      <c r="AH26" s="185"/>
      <c r="AI26" s="185"/>
    </row>
    <row r="27" spans="1:35" ht="15.5">
      <c r="A27" s="185"/>
      <c r="B27" s="567"/>
      <c r="C27" s="358"/>
      <c r="D27" s="330" t="s">
        <v>1274</v>
      </c>
      <c r="E27" s="562">
        <v>56720.055</v>
      </c>
      <c r="F27" s="345"/>
      <c r="G27" s="345">
        <f t="shared" si="3"/>
        <v>6614.6235900000001</v>
      </c>
      <c r="H27" s="345"/>
      <c r="I27" s="345">
        <f t="shared" si="0"/>
        <v>13431.309024</v>
      </c>
      <c r="J27" s="345">
        <f t="shared" si="4"/>
        <v>76766.054999999993</v>
      </c>
      <c r="K27" s="346"/>
      <c r="L27" s="345">
        <f t="shared" si="5"/>
        <v>56720.055</v>
      </c>
      <c r="M27" s="345"/>
      <c r="N27" s="345">
        <f t="shared" si="1"/>
        <v>6614.6235900000001</v>
      </c>
      <c r="O27" s="345"/>
      <c r="P27" s="345">
        <f t="shared" si="2"/>
        <v>63334.678590000003</v>
      </c>
      <c r="Q27" s="184"/>
      <c r="R27" s="566"/>
      <c r="S27" s="225" t="s">
        <v>1275</v>
      </c>
      <c r="T27" s="185"/>
      <c r="U27" s="185"/>
      <c r="V27" s="185"/>
      <c r="W27" s="185"/>
      <c r="X27" s="185"/>
      <c r="Y27" s="185"/>
      <c r="Z27" s="185"/>
      <c r="AA27" s="185"/>
      <c r="AB27" s="185"/>
      <c r="AC27" s="185"/>
      <c r="AD27" s="185"/>
      <c r="AE27" s="185"/>
      <c r="AF27" s="185"/>
      <c r="AG27" s="185"/>
      <c r="AH27" s="185"/>
      <c r="AI27" s="185"/>
    </row>
    <row r="28" spans="1:35" ht="15.5">
      <c r="A28" s="185"/>
      <c r="B28" s="568"/>
      <c r="C28" s="358"/>
      <c r="D28" s="330" t="s">
        <v>1276</v>
      </c>
      <c r="E28" s="562">
        <v>58134.922499999993</v>
      </c>
      <c r="F28" s="345"/>
      <c r="G28" s="345">
        <f t="shared" si="3"/>
        <v>6809.8753049999996</v>
      </c>
      <c r="H28" s="345"/>
      <c r="I28" s="345">
        <f t="shared" si="0"/>
        <v>13766.349647999999</v>
      </c>
      <c r="J28" s="345">
        <f t="shared" si="4"/>
        <v>78710.922499999986</v>
      </c>
      <c r="K28" s="346"/>
      <c r="L28" s="345">
        <f t="shared" si="5"/>
        <v>58134.922499999993</v>
      </c>
      <c r="M28" s="345"/>
      <c r="N28" s="345">
        <f t="shared" si="1"/>
        <v>6809.8753049999996</v>
      </c>
      <c r="O28" s="345"/>
      <c r="P28" s="345">
        <f t="shared" si="2"/>
        <v>64944.797804999995</v>
      </c>
      <c r="Q28" s="184"/>
      <c r="R28" s="566"/>
      <c r="S28" s="225" t="s">
        <v>1025</v>
      </c>
      <c r="T28" s="185"/>
      <c r="U28" s="185"/>
      <c r="V28" s="185"/>
      <c r="W28" s="185"/>
      <c r="X28" s="185"/>
      <c r="Y28" s="185"/>
      <c r="Z28" s="185"/>
      <c r="AA28" s="185"/>
      <c r="AB28" s="185"/>
      <c r="AC28" s="185"/>
      <c r="AD28" s="185"/>
      <c r="AE28" s="185"/>
      <c r="AF28" s="185"/>
      <c r="AG28" s="185"/>
      <c r="AH28" s="185"/>
      <c r="AI28" s="185"/>
    </row>
    <row r="29" spans="1:35" ht="15.5">
      <c r="A29" s="185"/>
      <c r="B29" s="365"/>
      <c r="C29" s="358"/>
      <c r="D29" s="330" t="s">
        <v>883</v>
      </c>
      <c r="E29" s="562">
        <v>59580.614999999998</v>
      </c>
      <c r="F29" s="345"/>
      <c r="G29" s="345">
        <f t="shared" si="3"/>
        <v>7009.38087</v>
      </c>
      <c r="H29" s="345"/>
      <c r="I29" s="345">
        <f t="shared" si="0"/>
        <v>14108.689632</v>
      </c>
      <c r="J29" s="345">
        <f t="shared" si="4"/>
        <v>80698.614999999991</v>
      </c>
      <c r="K29" s="346"/>
      <c r="L29" s="345">
        <f t="shared" si="5"/>
        <v>59580.614999999998</v>
      </c>
      <c r="M29" s="345"/>
      <c r="N29" s="345">
        <f t="shared" si="1"/>
        <v>7009.38087</v>
      </c>
      <c r="O29" s="345"/>
      <c r="P29" s="345">
        <f t="shared" si="2"/>
        <v>66589.995869999999</v>
      </c>
      <c r="Q29" s="184"/>
      <c r="R29" s="566"/>
      <c r="S29" s="225" t="s">
        <v>1277</v>
      </c>
      <c r="T29" s="185"/>
      <c r="U29" s="185"/>
      <c r="V29" s="185"/>
      <c r="W29" s="185"/>
      <c r="X29" s="185"/>
      <c r="Y29" s="185"/>
      <c r="Z29" s="185"/>
      <c r="AA29" s="185"/>
      <c r="AB29" s="185"/>
      <c r="AC29" s="185"/>
      <c r="AD29" s="185"/>
      <c r="AE29" s="185"/>
      <c r="AF29" s="185"/>
      <c r="AG29" s="185"/>
      <c r="AH29" s="185"/>
      <c r="AI29" s="185"/>
    </row>
    <row r="30" spans="1:35" ht="15.5">
      <c r="A30" s="185"/>
      <c r="B30" s="365"/>
      <c r="C30" s="358"/>
      <c r="D30" s="330" t="s">
        <v>1278</v>
      </c>
      <c r="E30" s="562">
        <v>61165.02</v>
      </c>
      <c r="F30" s="345"/>
      <c r="G30" s="345">
        <f t="shared" si="3"/>
        <v>7228.0287600000001</v>
      </c>
      <c r="H30" s="345"/>
      <c r="I30" s="345">
        <f t="shared" si="0"/>
        <v>14483.876736</v>
      </c>
      <c r="J30" s="345">
        <f t="shared" si="4"/>
        <v>82877.01999999999</v>
      </c>
      <c r="K30" s="346"/>
      <c r="L30" s="345">
        <f t="shared" si="5"/>
        <v>61165.02</v>
      </c>
      <c r="M30" s="345"/>
      <c r="N30" s="345">
        <f t="shared" si="1"/>
        <v>7228.0287600000001</v>
      </c>
      <c r="O30" s="345"/>
      <c r="P30" s="345">
        <f t="shared" si="2"/>
        <v>68393.048759999991</v>
      </c>
      <c r="Q30" s="184"/>
      <c r="R30" s="566"/>
      <c r="S30" s="225"/>
      <c r="T30" s="185"/>
      <c r="U30" s="185"/>
      <c r="V30" s="185"/>
      <c r="W30" s="185"/>
      <c r="X30" s="185"/>
      <c r="Y30" s="185"/>
      <c r="Z30" s="185"/>
      <c r="AA30" s="185"/>
      <c r="AB30" s="185"/>
      <c r="AC30" s="185"/>
      <c r="AD30" s="185"/>
      <c r="AE30" s="185"/>
      <c r="AF30" s="185"/>
      <c r="AG30" s="185"/>
      <c r="AH30" s="185"/>
      <c r="AI30" s="185"/>
    </row>
    <row r="31" spans="1:35" ht="15.5">
      <c r="A31" s="185"/>
      <c r="B31" s="181"/>
      <c r="C31" s="358"/>
      <c r="D31" s="330" t="s">
        <v>1279</v>
      </c>
      <c r="E31" s="562">
        <v>62569.612500000003</v>
      </c>
      <c r="F31" s="345"/>
      <c r="G31" s="345">
        <f t="shared" si="3"/>
        <v>7421.8625250000014</v>
      </c>
      <c r="H31" s="345"/>
      <c r="I31" s="345">
        <f t="shared" si="0"/>
        <v>14816.484240000002</v>
      </c>
      <c r="J31" s="345">
        <f t="shared" si="4"/>
        <v>84807.612500000003</v>
      </c>
      <c r="K31" s="346"/>
      <c r="L31" s="345">
        <f t="shared" si="5"/>
        <v>62569.612500000003</v>
      </c>
      <c r="M31" s="345"/>
      <c r="N31" s="345">
        <f t="shared" si="1"/>
        <v>7421.8625250000014</v>
      </c>
      <c r="O31" s="345"/>
      <c r="P31" s="345">
        <f t="shared" si="2"/>
        <v>69991.475025000007</v>
      </c>
      <c r="Q31" s="184"/>
      <c r="R31" s="566"/>
      <c r="S31" s="225"/>
      <c r="T31" s="185"/>
      <c r="U31" s="185"/>
      <c r="V31" s="185"/>
      <c r="W31" s="185"/>
      <c r="X31" s="185"/>
      <c r="Y31" s="185"/>
      <c r="Z31" s="185"/>
      <c r="AA31" s="185"/>
      <c r="AB31" s="185"/>
      <c r="AC31" s="185"/>
      <c r="AD31" s="185"/>
      <c r="AE31" s="185"/>
      <c r="AF31" s="185"/>
      <c r="AG31" s="185"/>
      <c r="AH31" s="185"/>
      <c r="AI31" s="185"/>
    </row>
    <row r="32" spans="1:35" ht="15.5">
      <c r="A32" s="185"/>
      <c r="B32" s="181"/>
      <c r="C32" s="358"/>
      <c r="D32" s="330" t="s">
        <v>1280</v>
      </c>
      <c r="E32" s="562">
        <v>64142.714999999997</v>
      </c>
      <c r="F32" s="345"/>
      <c r="G32" s="345">
        <f t="shared" si="3"/>
        <v>7638.9506700000002</v>
      </c>
      <c r="H32" s="345"/>
      <c r="I32" s="345">
        <f t="shared" si="0"/>
        <v>15188.994912</v>
      </c>
      <c r="J32" s="345">
        <f t="shared" si="4"/>
        <v>86970.714999999997</v>
      </c>
      <c r="K32" s="346"/>
      <c r="L32" s="345">
        <f t="shared" si="5"/>
        <v>64142.714999999997</v>
      </c>
      <c r="M32" s="345"/>
      <c r="N32" s="345">
        <f t="shared" si="1"/>
        <v>7638.9506700000002</v>
      </c>
      <c r="O32" s="345"/>
      <c r="P32" s="345">
        <f t="shared" si="2"/>
        <v>71781.665670000002</v>
      </c>
      <c r="Q32" s="184"/>
      <c r="R32" s="566"/>
      <c r="S32" s="225"/>
      <c r="T32" s="185"/>
      <c r="U32" s="185"/>
      <c r="V32" s="185"/>
      <c r="W32" s="185"/>
      <c r="X32" s="185"/>
      <c r="Y32" s="185"/>
      <c r="Z32" s="185"/>
      <c r="AA32" s="185"/>
      <c r="AB32" s="185"/>
      <c r="AC32" s="185"/>
      <c r="AD32" s="185"/>
      <c r="AE32" s="185"/>
      <c r="AF32" s="185"/>
      <c r="AG32" s="185"/>
      <c r="AH32" s="185"/>
      <c r="AI32" s="185"/>
    </row>
    <row r="33" spans="1:35" ht="15.5">
      <c r="A33" s="185"/>
      <c r="B33" s="181"/>
      <c r="C33" s="358"/>
      <c r="D33" s="343" t="s">
        <v>1281</v>
      </c>
      <c r="E33" s="562">
        <v>65734.3125</v>
      </c>
      <c r="F33" s="345"/>
      <c r="G33" s="345">
        <f t="shared" si="3"/>
        <v>7858.5911250000008</v>
      </c>
      <c r="H33" s="345"/>
      <c r="I33" s="345">
        <f t="shared" si="0"/>
        <v>15565.885200000001</v>
      </c>
      <c r="J33" s="345">
        <f t="shared" si="4"/>
        <v>89159.3125</v>
      </c>
      <c r="K33" s="346"/>
      <c r="L33" s="345">
        <f t="shared" si="5"/>
        <v>65734.3125</v>
      </c>
      <c r="M33" s="345"/>
      <c r="N33" s="345">
        <f t="shared" si="1"/>
        <v>7858.5911250000008</v>
      </c>
      <c r="O33" s="345"/>
      <c r="P33" s="345">
        <f t="shared" si="2"/>
        <v>73592.903625000006</v>
      </c>
      <c r="Q33" s="184"/>
      <c r="R33" s="566"/>
      <c r="S33" s="225"/>
      <c r="T33" s="185"/>
      <c r="U33" s="185"/>
      <c r="V33" s="185"/>
      <c r="W33" s="185"/>
      <c r="X33" s="185"/>
      <c r="Y33" s="185"/>
      <c r="Z33" s="185"/>
      <c r="AA33" s="185"/>
      <c r="AB33" s="185"/>
      <c r="AC33" s="185"/>
      <c r="AD33" s="185"/>
      <c r="AE33" s="185"/>
      <c r="AF33" s="185"/>
      <c r="AG33" s="185"/>
      <c r="AH33" s="185"/>
      <c r="AI33" s="185"/>
    </row>
    <row r="34" spans="1:35" ht="15.5">
      <c r="A34" s="185"/>
      <c r="B34" s="181"/>
      <c r="C34" s="358"/>
      <c r="D34" s="343" t="s">
        <v>1282</v>
      </c>
      <c r="E34" s="562">
        <v>67363.927500000005</v>
      </c>
      <c r="F34" s="345"/>
      <c r="G34" s="345">
        <f t="shared" si="3"/>
        <v>8083.4779950000011</v>
      </c>
      <c r="H34" s="345"/>
      <c r="I34" s="345">
        <f t="shared" si="0"/>
        <v>15951.778032000002</v>
      </c>
      <c r="J34" s="345">
        <f t="shared" si="4"/>
        <v>91398.927500000005</v>
      </c>
      <c r="K34" s="346"/>
      <c r="L34" s="345">
        <f t="shared" si="5"/>
        <v>67363.927500000005</v>
      </c>
      <c r="M34" s="345"/>
      <c r="N34" s="345">
        <f t="shared" si="1"/>
        <v>8083.4779950000011</v>
      </c>
      <c r="O34" s="345"/>
      <c r="P34" s="345">
        <f t="shared" si="2"/>
        <v>75447.405495000014</v>
      </c>
      <c r="Q34" s="184"/>
      <c r="R34" s="566"/>
      <c r="S34" s="225" t="s">
        <v>1283</v>
      </c>
      <c r="T34" s="185"/>
      <c r="U34" s="185"/>
      <c r="V34" s="604">
        <f>J19+J24+(0.5*J26)+(0.5*J38)+(0.125*J57)</f>
        <v>241960.13374999995</v>
      </c>
      <c r="W34" s="185"/>
      <c r="X34" s="185"/>
      <c r="Y34" s="185"/>
      <c r="Z34" s="185"/>
      <c r="AA34" s="185"/>
      <c r="AB34" s="185"/>
      <c r="AC34" s="185"/>
      <c r="AD34" s="185"/>
      <c r="AE34" s="185"/>
      <c r="AF34" s="185"/>
      <c r="AG34" s="185"/>
      <c r="AH34" s="185"/>
      <c r="AI34" s="185"/>
    </row>
    <row r="35" spans="1:35" ht="15.5">
      <c r="A35" s="185"/>
      <c r="B35" s="181"/>
      <c r="C35" s="358"/>
      <c r="D35" s="343" t="s">
        <v>1284</v>
      </c>
      <c r="E35" s="562">
        <v>69030.532500000001</v>
      </c>
      <c r="F35" s="345"/>
      <c r="G35" s="345">
        <f t="shared" si="3"/>
        <v>8313.4694850000014</v>
      </c>
      <c r="H35" s="345"/>
      <c r="I35" s="345">
        <f t="shared" si="0"/>
        <v>16346.430096000002</v>
      </c>
      <c r="J35" s="345">
        <f t="shared" si="4"/>
        <v>93689.532500000001</v>
      </c>
      <c r="K35" s="346"/>
      <c r="L35" s="345">
        <f t="shared" si="5"/>
        <v>69030.532500000001</v>
      </c>
      <c r="M35" s="345"/>
      <c r="N35" s="345">
        <f t="shared" si="1"/>
        <v>8313.4694850000014</v>
      </c>
      <c r="O35" s="345"/>
      <c r="P35" s="345">
        <f t="shared" si="2"/>
        <v>77344.00198500001</v>
      </c>
      <c r="Q35" s="184"/>
      <c r="R35" s="566"/>
      <c r="S35" s="225"/>
      <c r="T35" s="185"/>
      <c r="U35" s="185"/>
      <c r="V35" s="185"/>
      <c r="W35" s="185"/>
      <c r="X35" s="185"/>
      <c r="Y35" s="185"/>
      <c r="Z35" s="185"/>
      <c r="AA35" s="185"/>
      <c r="AB35" s="185"/>
      <c r="AC35" s="185"/>
      <c r="AD35" s="185"/>
      <c r="AE35" s="185"/>
      <c r="AF35" s="185"/>
      <c r="AG35" s="185"/>
      <c r="AH35" s="185"/>
      <c r="AI35" s="185"/>
    </row>
    <row r="36" spans="1:35" ht="15.5">
      <c r="A36" s="185"/>
      <c r="B36" s="181"/>
      <c r="C36" s="358"/>
      <c r="D36" s="343" t="s">
        <v>1285</v>
      </c>
      <c r="E36" s="562">
        <v>70744.402499999997</v>
      </c>
      <c r="F36" s="345"/>
      <c r="G36" s="345">
        <f t="shared" si="3"/>
        <v>8549.983545000001</v>
      </c>
      <c r="H36" s="345"/>
      <c r="I36" s="345">
        <f t="shared" si="0"/>
        <v>16752.274512</v>
      </c>
      <c r="J36" s="345">
        <f t="shared" si="4"/>
        <v>96046.402499999997</v>
      </c>
      <c r="K36" s="346"/>
      <c r="L36" s="345">
        <f t="shared" si="5"/>
        <v>70744.402499999997</v>
      </c>
      <c r="M36" s="345"/>
      <c r="N36" s="345">
        <f t="shared" si="1"/>
        <v>8549.983545000001</v>
      </c>
      <c r="O36" s="345"/>
      <c r="P36" s="345">
        <f t="shared" si="2"/>
        <v>79294.386044999992</v>
      </c>
      <c r="Q36" s="184"/>
      <c r="R36" s="566"/>
      <c r="S36" s="225"/>
      <c r="T36" s="185"/>
      <c r="U36" s="185"/>
      <c r="V36" s="185"/>
      <c r="W36" s="185"/>
      <c r="X36" s="185"/>
      <c r="Y36" s="185"/>
      <c r="Z36" s="185"/>
      <c r="AA36" s="185"/>
      <c r="AB36" s="185"/>
      <c r="AC36" s="185"/>
      <c r="AD36" s="185"/>
      <c r="AE36" s="185"/>
      <c r="AF36" s="185"/>
      <c r="AG36" s="185"/>
      <c r="AH36" s="185"/>
      <c r="AI36" s="185"/>
    </row>
    <row r="37" spans="1:35" ht="15.5">
      <c r="A37" s="185"/>
      <c r="B37" s="181"/>
      <c r="C37" s="358"/>
      <c r="D37" s="343" t="s">
        <v>1286</v>
      </c>
      <c r="E37" s="562">
        <v>72496.289999999994</v>
      </c>
      <c r="F37" s="345"/>
      <c r="G37" s="345">
        <f t="shared" si="3"/>
        <v>8791.7440200000001</v>
      </c>
      <c r="H37" s="345"/>
      <c r="I37" s="345">
        <f t="shared" si="0"/>
        <v>17167.121471999999</v>
      </c>
      <c r="J37" s="345">
        <f t="shared" si="4"/>
        <v>98455.29</v>
      </c>
      <c r="K37" s="346"/>
      <c r="L37" s="345">
        <f t="shared" si="5"/>
        <v>72496.289999999994</v>
      </c>
      <c r="M37" s="345"/>
      <c r="N37" s="345">
        <f t="shared" si="1"/>
        <v>8791.7440200000001</v>
      </c>
      <c r="O37" s="345"/>
      <c r="P37" s="345">
        <f t="shared" si="2"/>
        <v>81288.034019999992</v>
      </c>
      <c r="Q37" s="184"/>
      <c r="R37" s="566"/>
      <c r="S37" s="225"/>
      <c r="T37" s="185"/>
      <c r="U37" s="185"/>
      <c r="V37" s="185"/>
      <c r="W37" s="185"/>
      <c r="X37" s="185"/>
      <c r="Y37" s="185"/>
      <c r="Z37" s="185"/>
      <c r="AA37" s="185"/>
      <c r="AB37" s="185"/>
      <c r="AC37" s="185"/>
      <c r="AD37" s="185"/>
      <c r="AE37" s="185"/>
      <c r="AF37" s="185"/>
      <c r="AG37" s="185"/>
      <c r="AH37" s="185"/>
      <c r="AI37" s="185"/>
    </row>
    <row r="38" spans="1:35" ht="15.5">
      <c r="A38" s="185"/>
      <c r="B38" s="181"/>
      <c r="C38" s="358"/>
      <c r="D38" s="343" t="s">
        <v>878</v>
      </c>
      <c r="E38" s="562">
        <v>74294.414999999994</v>
      </c>
      <c r="F38" s="345"/>
      <c r="G38" s="345">
        <f t="shared" si="3"/>
        <v>9039.8852700000007</v>
      </c>
      <c r="H38" s="345"/>
      <c r="I38" s="345">
        <f t="shared" si="0"/>
        <v>17592.917472000001</v>
      </c>
      <c r="J38" s="581">
        <f t="shared" si="4"/>
        <v>100927.41499999999</v>
      </c>
      <c r="K38" s="346"/>
      <c r="L38" s="345">
        <f t="shared" si="5"/>
        <v>74294.414999999994</v>
      </c>
      <c r="M38" s="345"/>
      <c r="N38" s="345">
        <f t="shared" si="1"/>
        <v>9039.8852700000007</v>
      </c>
      <c r="O38" s="345"/>
      <c r="P38" s="345">
        <f t="shared" si="2"/>
        <v>83334.300269999992</v>
      </c>
      <c r="Q38" s="184"/>
      <c r="R38" s="566"/>
      <c r="S38" s="225"/>
      <c r="T38" s="185"/>
      <c r="U38" s="185"/>
      <c r="V38" s="185"/>
      <c r="W38" s="185"/>
      <c r="X38" s="185"/>
      <c r="Y38" s="185"/>
      <c r="Z38" s="185"/>
      <c r="AA38" s="185"/>
      <c r="AB38" s="185"/>
      <c r="AC38" s="185"/>
      <c r="AD38" s="185"/>
      <c r="AE38" s="185"/>
      <c r="AF38" s="185"/>
      <c r="AG38" s="185"/>
      <c r="AH38" s="185"/>
      <c r="AI38" s="185"/>
    </row>
    <row r="39" spans="1:35" ht="15.5">
      <c r="A39" s="185"/>
      <c r="B39" s="181"/>
      <c r="C39" s="358"/>
      <c r="D39" s="343" t="s">
        <v>880</v>
      </c>
      <c r="E39" s="562">
        <v>76140.832500000004</v>
      </c>
      <c r="F39" s="345"/>
      <c r="G39" s="345">
        <f t="shared" si="3"/>
        <v>9294.6908850000018</v>
      </c>
      <c r="H39" s="345"/>
      <c r="I39" s="345">
        <f t="shared" si="0"/>
        <v>18030.149136</v>
      </c>
      <c r="J39" s="345">
        <f t="shared" si="4"/>
        <v>103465.8325</v>
      </c>
      <c r="K39" s="346"/>
      <c r="L39" s="345">
        <f t="shared" si="5"/>
        <v>76140.832500000004</v>
      </c>
      <c r="M39" s="345"/>
      <c r="N39" s="345">
        <f t="shared" si="1"/>
        <v>9294.6908850000018</v>
      </c>
      <c r="O39" s="345"/>
      <c r="P39" s="345">
        <f t="shared" si="2"/>
        <v>85435.523385000008</v>
      </c>
      <c r="Q39" s="184"/>
      <c r="R39" s="566"/>
      <c r="S39" s="225"/>
      <c r="T39" s="185"/>
      <c r="U39" s="185"/>
      <c r="V39" s="185"/>
      <c r="W39" s="185"/>
      <c r="X39" s="185"/>
      <c r="Y39" s="185"/>
      <c r="Z39" s="185"/>
      <c r="AA39" s="185"/>
      <c r="AB39" s="185"/>
      <c r="AC39" s="185"/>
      <c r="AD39" s="185"/>
      <c r="AE39" s="185"/>
      <c r="AF39" s="185"/>
      <c r="AG39" s="185"/>
      <c r="AH39" s="185"/>
      <c r="AI39" s="185"/>
    </row>
    <row r="40" spans="1:35" ht="15.5">
      <c r="A40" s="185"/>
      <c r="B40" s="181"/>
      <c r="C40" s="358"/>
      <c r="D40" s="343" t="s">
        <v>1287</v>
      </c>
      <c r="E40" s="562">
        <v>78024.240000000005</v>
      </c>
      <c r="F40" s="345"/>
      <c r="G40" s="345">
        <f t="shared" si="3"/>
        <v>9554.6011200000012</v>
      </c>
      <c r="H40" s="345"/>
      <c r="I40" s="345">
        <f t="shared" si="0"/>
        <v>18476.140032000003</v>
      </c>
      <c r="J40" s="345">
        <f t="shared" si="4"/>
        <v>106055.24</v>
      </c>
      <c r="K40" s="346"/>
      <c r="L40" s="345">
        <f t="shared" si="5"/>
        <v>78024.240000000005</v>
      </c>
      <c r="M40" s="345"/>
      <c r="N40" s="345">
        <f t="shared" si="1"/>
        <v>9554.6011200000012</v>
      </c>
      <c r="O40" s="345"/>
      <c r="P40" s="345">
        <f t="shared" si="2"/>
        <v>87578.841120000012</v>
      </c>
      <c r="Q40" s="184"/>
      <c r="R40" s="566"/>
      <c r="S40" s="225"/>
      <c r="T40" s="185"/>
      <c r="U40" s="185"/>
      <c r="V40" s="185"/>
      <c r="W40" s="185"/>
      <c r="X40" s="185"/>
      <c r="Y40" s="185"/>
      <c r="Z40" s="185"/>
      <c r="AA40" s="185"/>
      <c r="AB40" s="185"/>
      <c r="AC40" s="185"/>
      <c r="AD40" s="185"/>
      <c r="AE40" s="185"/>
      <c r="AF40" s="185"/>
      <c r="AG40" s="185"/>
      <c r="AH40" s="185"/>
      <c r="AI40" s="185"/>
    </row>
    <row r="41" spans="1:35" ht="15.5">
      <c r="A41" s="185"/>
      <c r="B41" s="181"/>
      <c r="C41" s="358"/>
      <c r="D41" s="343" t="s">
        <v>1288</v>
      </c>
      <c r="E41" s="562">
        <v>79957.994999999995</v>
      </c>
      <c r="F41" s="345"/>
      <c r="G41" s="345">
        <f t="shared" si="3"/>
        <v>9821.4593100000002</v>
      </c>
      <c r="H41" s="345"/>
      <c r="I41" s="345">
        <f t="shared" si="0"/>
        <v>18934.053216</v>
      </c>
      <c r="J41" s="345">
        <f t="shared" si="4"/>
        <v>108712.995</v>
      </c>
      <c r="K41" s="346"/>
      <c r="L41" s="345">
        <f t="shared" si="5"/>
        <v>79957.994999999995</v>
      </c>
      <c r="M41" s="345"/>
      <c r="N41" s="345">
        <f t="shared" si="1"/>
        <v>9821.4593100000002</v>
      </c>
      <c r="O41" s="345"/>
      <c r="P41" s="345">
        <f t="shared" si="2"/>
        <v>89779.454310000001</v>
      </c>
      <c r="Q41" s="184"/>
      <c r="R41" s="566"/>
      <c r="S41" s="225"/>
      <c r="T41" s="185"/>
      <c r="U41" s="185"/>
      <c r="V41" s="185"/>
      <c r="W41" s="185"/>
      <c r="X41" s="185"/>
      <c r="Y41" s="185"/>
      <c r="Z41" s="185"/>
      <c r="AA41" s="185"/>
      <c r="AB41" s="185"/>
      <c r="AC41" s="185"/>
      <c r="AD41" s="185"/>
      <c r="AE41" s="185"/>
      <c r="AF41" s="185"/>
      <c r="AG41" s="185"/>
      <c r="AH41" s="185"/>
      <c r="AI41" s="185"/>
    </row>
    <row r="42" spans="1:35" ht="15.5">
      <c r="A42" s="185"/>
      <c r="B42" s="181"/>
      <c r="C42" s="358"/>
      <c r="D42" s="343" t="s">
        <v>1289</v>
      </c>
      <c r="E42" s="562">
        <v>81941.070000000007</v>
      </c>
      <c r="F42" s="345"/>
      <c r="G42" s="345">
        <f t="shared" si="3"/>
        <v>10095.123660000001</v>
      </c>
      <c r="H42" s="345"/>
      <c r="I42" s="345">
        <f t="shared" si="0"/>
        <v>19403.645376000004</v>
      </c>
      <c r="J42" s="345">
        <f t="shared" si="4"/>
        <v>111440.07</v>
      </c>
      <c r="K42" s="346"/>
      <c r="L42" s="345">
        <f t="shared" si="5"/>
        <v>81941.070000000007</v>
      </c>
      <c r="M42" s="345"/>
      <c r="N42" s="345">
        <f t="shared" si="1"/>
        <v>10095.123660000001</v>
      </c>
      <c r="O42" s="345"/>
      <c r="P42" s="345">
        <f t="shared" si="2"/>
        <v>92036.193660000004</v>
      </c>
      <c r="Q42" s="184"/>
      <c r="R42" s="566"/>
      <c r="S42" s="225"/>
      <c r="T42" s="185"/>
      <c r="U42" s="185"/>
      <c r="V42" s="185"/>
      <c r="W42" s="185"/>
      <c r="X42" s="185"/>
      <c r="Y42" s="185"/>
      <c r="Z42" s="185"/>
      <c r="AA42" s="185"/>
      <c r="AB42" s="185"/>
      <c r="AC42" s="185"/>
      <c r="AD42" s="185"/>
      <c r="AE42" s="185"/>
      <c r="AF42" s="185"/>
      <c r="AG42" s="185"/>
      <c r="AH42" s="185"/>
      <c r="AI42" s="185"/>
    </row>
    <row r="43" spans="1:35" ht="15.5">
      <c r="A43" s="185"/>
      <c r="B43" s="181"/>
      <c r="C43" s="358"/>
      <c r="D43" s="343" t="s">
        <v>1290</v>
      </c>
      <c r="E43" s="562">
        <v>83970.382500000007</v>
      </c>
      <c r="F43" s="345"/>
      <c r="G43" s="345">
        <f t="shared" si="3"/>
        <v>10375.168785000002</v>
      </c>
      <c r="H43" s="345"/>
      <c r="I43" s="345">
        <f t="shared" si="0"/>
        <v>19884.186576000004</v>
      </c>
      <c r="J43" s="345">
        <f t="shared" si="4"/>
        <v>114229.38250000001</v>
      </c>
      <c r="K43" s="346"/>
      <c r="L43" s="345">
        <f t="shared" si="5"/>
        <v>83970.382500000007</v>
      </c>
      <c r="M43" s="345"/>
      <c r="N43" s="345">
        <f t="shared" si="1"/>
        <v>10375.168785000002</v>
      </c>
      <c r="O43" s="345"/>
      <c r="P43" s="345">
        <f t="shared" si="2"/>
        <v>94345.551285000009</v>
      </c>
      <c r="Q43" s="184"/>
      <c r="R43" s="566"/>
      <c r="S43" s="225"/>
      <c r="T43" s="185"/>
      <c r="U43" s="185"/>
      <c r="V43" s="185"/>
      <c r="W43" s="185"/>
      <c r="X43" s="185"/>
      <c r="Y43" s="185"/>
      <c r="Z43" s="185"/>
      <c r="AA43" s="185"/>
      <c r="AB43" s="185"/>
      <c r="AC43" s="185"/>
      <c r="AD43" s="185"/>
      <c r="AE43" s="185"/>
      <c r="AF43" s="185"/>
      <c r="AG43" s="185"/>
      <c r="AH43" s="185"/>
      <c r="AI43" s="185"/>
    </row>
    <row r="44" spans="1:35" ht="15.5">
      <c r="A44" s="185"/>
      <c r="B44" s="181"/>
      <c r="C44" s="358"/>
      <c r="D44" s="343" t="s">
        <v>1291</v>
      </c>
      <c r="E44" s="562">
        <v>86060.317500000005</v>
      </c>
      <c r="F44" s="345"/>
      <c r="G44" s="345">
        <f t="shared" si="3"/>
        <v>10663.579815000001</v>
      </c>
      <c r="H44" s="345"/>
      <c r="I44" s="345">
        <f t="shared" si="0"/>
        <v>20379.083184000003</v>
      </c>
      <c r="J44" s="345">
        <f t="shared" si="4"/>
        <v>117103.3175</v>
      </c>
      <c r="K44" s="346"/>
      <c r="L44" s="345">
        <f t="shared" si="5"/>
        <v>86060.317500000005</v>
      </c>
      <c r="M44" s="345"/>
      <c r="N44" s="345">
        <f t="shared" si="1"/>
        <v>10663.579815000001</v>
      </c>
      <c r="O44" s="345"/>
      <c r="P44" s="345">
        <f t="shared" si="2"/>
        <v>96723.897315000009</v>
      </c>
      <c r="Q44" s="184"/>
      <c r="R44" s="566"/>
      <c r="S44" s="225"/>
      <c r="T44" s="185"/>
      <c r="U44" s="185"/>
      <c r="V44" s="185"/>
      <c r="W44" s="185"/>
      <c r="X44" s="185"/>
      <c r="Y44" s="185"/>
      <c r="Z44" s="185"/>
      <c r="AA44" s="185"/>
      <c r="AB44" s="185"/>
      <c r="AC44" s="185"/>
      <c r="AD44" s="185"/>
      <c r="AE44" s="185"/>
      <c r="AF44" s="185"/>
      <c r="AG44" s="185"/>
      <c r="AH44" s="185"/>
      <c r="AI44" s="185"/>
    </row>
    <row r="45" spans="1:35" ht="15.5">
      <c r="A45" s="185"/>
      <c r="B45" s="181"/>
      <c r="C45" s="358"/>
      <c r="D45" s="343" t="s">
        <v>1292</v>
      </c>
      <c r="E45" s="562">
        <v>88186.214999999997</v>
      </c>
      <c r="F45" s="345"/>
      <c r="G45" s="345">
        <f t="shared" si="3"/>
        <v>10956.953670000001</v>
      </c>
      <c r="H45" s="345"/>
      <c r="I45" s="345">
        <f t="shared" si="0"/>
        <v>20882.495712</v>
      </c>
      <c r="J45" s="345">
        <f t="shared" si="4"/>
        <v>120025.215</v>
      </c>
      <c r="K45" s="346"/>
      <c r="L45" s="345">
        <f t="shared" si="5"/>
        <v>88186.214999999997</v>
      </c>
      <c r="M45" s="345"/>
      <c r="N45" s="345">
        <f t="shared" si="1"/>
        <v>10956.953670000001</v>
      </c>
      <c r="O45" s="345"/>
      <c r="P45" s="345">
        <f t="shared" si="2"/>
        <v>99143.168669999999</v>
      </c>
      <c r="Q45" s="184"/>
      <c r="R45" s="566"/>
      <c r="S45" s="225"/>
      <c r="T45" s="185"/>
      <c r="U45" s="185"/>
      <c r="V45" s="185"/>
      <c r="W45" s="185"/>
      <c r="X45" s="185"/>
      <c r="Y45" s="185"/>
      <c r="Z45" s="185"/>
      <c r="AA45" s="185"/>
      <c r="AB45" s="185"/>
      <c r="AC45" s="185"/>
      <c r="AD45" s="185"/>
      <c r="AE45" s="185"/>
      <c r="AF45" s="185"/>
      <c r="AG45" s="185"/>
      <c r="AH45" s="185"/>
      <c r="AI45" s="185"/>
    </row>
    <row r="46" spans="1:35" ht="15.5">
      <c r="A46" s="185"/>
      <c r="B46" s="181"/>
      <c r="C46" s="358"/>
      <c r="D46" s="343" t="s">
        <v>1293</v>
      </c>
      <c r="E46" s="562">
        <v>90378.900000000009</v>
      </c>
      <c r="F46" s="345"/>
      <c r="G46" s="345">
        <f t="shared" si="3"/>
        <v>11259.544200000002</v>
      </c>
      <c r="H46" s="345"/>
      <c r="I46" s="345">
        <f t="shared" si="0"/>
        <v>21401.723520000003</v>
      </c>
      <c r="J46" s="345">
        <f t="shared" si="4"/>
        <v>123040.90000000001</v>
      </c>
      <c r="K46" s="346"/>
      <c r="L46" s="345">
        <f t="shared" si="5"/>
        <v>90378.900000000009</v>
      </c>
      <c r="M46" s="345"/>
      <c r="N46" s="345">
        <f t="shared" si="1"/>
        <v>11259.544200000002</v>
      </c>
      <c r="O46" s="345"/>
      <c r="P46" s="345">
        <f t="shared" si="2"/>
        <v>101638.44420000001</v>
      </c>
      <c r="Q46" s="184"/>
      <c r="R46" s="566"/>
      <c r="S46" s="225"/>
      <c r="T46" s="185"/>
      <c r="U46" s="185"/>
      <c r="V46" s="185"/>
      <c r="W46" s="185"/>
      <c r="X46" s="185"/>
      <c r="Y46" s="185"/>
      <c r="Z46" s="185"/>
      <c r="AA46" s="185"/>
      <c r="AB46" s="185"/>
      <c r="AC46" s="185"/>
      <c r="AD46" s="185"/>
      <c r="AE46" s="185"/>
      <c r="AF46" s="185"/>
      <c r="AG46" s="185"/>
      <c r="AH46" s="185"/>
      <c r="AI46" s="185"/>
    </row>
    <row r="47" spans="1:35" ht="15.5">
      <c r="A47" s="185"/>
      <c r="B47" s="181"/>
      <c r="C47" s="358"/>
      <c r="D47" s="343" t="s">
        <v>1294</v>
      </c>
      <c r="E47" s="562">
        <v>92623.987500000003</v>
      </c>
      <c r="F47" s="345"/>
      <c r="G47" s="345">
        <f t="shared" si="3"/>
        <v>11569.366275000002</v>
      </c>
      <c r="H47" s="345"/>
      <c r="I47" s="345">
        <f t="shared" si="0"/>
        <v>21933.360240000002</v>
      </c>
      <c r="J47" s="345">
        <f t="shared" si="4"/>
        <v>126125.9875</v>
      </c>
      <c r="K47" s="346"/>
      <c r="L47" s="345">
        <f t="shared" si="5"/>
        <v>92623.987500000003</v>
      </c>
      <c r="M47" s="345"/>
      <c r="N47" s="345">
        <f t="shared" si="1"/>
        <v>11569.366275000002</v>
      </c>
      <c r="O47" s="345"/>
      <c r="P47" s="345">
        <f t="shared" si="2"/>
        <v>104193.35377500001</v>
      </c>
      <c r="Q47" s="184"/>
      <c r="R47" s="566"/>
      <c r="S47" s="225"/>
      <c r="T47" s="185"/>
      <c r="U47" s="185"/>
      <c r="V47" s="185"/>
      <c r="W47" s="185"/>
      <c r="X47" s="185"/>
      <c r="Y47" s="185"/>
      <c r="Z47" s="185"/>
      <c r="AA47" s="185"/>
      <c r="AB47" s="185"/>
      <c r="AC47" s="185"/>
      <c r="AD47" s="185"/>
      <c r="AE47" s="185"/>
      <c r="AF47" s="185"/>
      <c r="AG47" s="185"/>
      <c r="AH47" s="185"/>
      <c r="AI47" s="185"/>
    </row>
    <row r="48" spans="1:35" ht="15.5">
      <c r="A48" s="185"/>
      <c r="B48" s="181"/>
      <c r="C48" s="358"/>
      <c r="D48" s="343" t="s">
        <v>1295</v>
      </c>
      <c r="E48" s="562">
        <v>94913.257500000007</v>
      </c>
      <c r="F48" s="345"/>
      <c r="G48" s="345">
        <f t="shared" si="3"/>
        <v>11885.285535000003</v>
      </c>
      <c r="H48" s="345"/>
      <c r="I48" s="345">
        <f t="shared" si="0"/>
        <v>22475.459376000003</v>
      </c>
      <c r="J48" s="345">
        <f t="shared" si="4"/>
        <v>129273.25750000001</v>
      </c>
      <c r="K48" s="346"/>
      <c r="L48" s="345">
        <f t="shared" si="5"/>
        <v>94913.257500000007</v>
      </c>
      <c r="M48" s="345"/>
      <c r="N48" s="345">
        <f t="shared" si="1"/>
        <v>11885.285535000003</v>
      </c>
      <c r="O48" s="345"/>
      <c r="P48" s="345">
        <f t="shared" si="2"/>
        <v>106798.54303500001</v>
      </c>
      <c r="Q48" s="184"/>
      <c r="R48" s="566"/>
      <c r="S48" s="225"/>
      <c r="T48" s="185"/>
      <c r="U48" s="185"/>
      <c r="V48" s="185"/>
      <c r="W48" s="185"/>
      <c r="X48" s="185"/>
      <c r="Y48" s="185"/>
      <c r="Z48" s="185"/>
      <c r="AA48" s="185"/>
      <c r="AB48" s="185"/>
      <c r="AC48" s="185"/>
      <c r="AD48" s="185"/>
      <c r="AE48" s="185"/>
      <c r="AF48" s="185"/>
      <c r="AG48" s="185"/>
      <c r="AH48" s="185"/>
      <c r="AI48" s="185"/>
    </row>
    <row r="49" spans="1:35" ht="15.5">
      <c r="A49" s="185"/>
      <c r="B49" s="181"/>
      <c r="C49" s="358"/>
      <c r="D49" s="343" t="s">
        <v>1296</v>
      </c>
      <c r="E49" s="562">
        <v>97272.397500000006</v>
      </c>
      <c r="F49" s="345"/>
      <c r="G49" s="345">
        <f t="shared" si="3"/>
        <v>12210.846855000002</v>
      </c>
      <c r="H49" s="345"/>
      <c r="I49" s="345">
        <f t="shared" si="0"/>
        <v>23034.103728000002</v>
      </c>
      <c r="J49" s="345">
        <f t="shared" si="4"/>
        <v>132517.39750000002</v>
      </c>
      <c r="K49" s="346"/>
      <c r="L49" s="345">
        <f t="shared" si="5"/>
        <v>97272.397500000006</v>
      </c>
      <c r="M49" s="345"/>
      <c r="N49" s="345">
        <f t="shared" si="1"/>
        <v>12210.846855000002</v>
      </c>
      <c r="O49" s="345"/>
      <c r="P49" s="345">
        <f t="shared" si="2"/>
        <v>109483.244355</v>
      </c>
      <c r="Q49" s="184"/>
      <c r="R49" s="566"/>
      <c r="S49" s="225"/>
      <c r="T49" s="185"/>
      <c r="U49" s="185"/>
      <c r="V49" s="185"/>
      <c r="W49" s="185"/>
      <c r="X49" s="185"/>
      <c r="Y49" s="185"/>
      <c r="Z49" s="185"/>
      <c r="AA49" s="185"/>
      <c r="AB49" s="185"/>
      <c r="AC49" s="185"/>
      <c r="AD49" s="185"/>
      <c r="AE49" s="185"/>
      <c r="AF49" s="185"/>
      <c r="AG49" s="185"/>
      <c r="AH49" s="185"/>
      <c r="AI49" s="185"/>
    </row>
    <row r="50" spans="1:35" ht="15.5">
      <c r="A50" s="185"/>
      <c r="B50" s="181"/>
      <c r="C50" s="358"/>
      <c r="D50" s="343" t="s">
        <v>1297</v>
      </c>
      <c r="E50" s="562">
        <v>99680.857499999998</v>
      </c>
      <c r="F50" s="345"/>
      <c r="G50" s="345">
        <f t="shared" si="3"/>
        <v>12543.214335000001</v>
      </c>
      <c r="H50" s="345"/>
      <c r="I50" s="345">
        <f t="shared" si="0"/>
        <v>23604.427056</v>
      </c>
      <c r="J50" s="345">
        <f t="shared" si="4"/>
        <v>135827.85749999998</v>
      </c>
      <c r="K50" s="346"/>
      <c r="L50" s="345">
        <f t="shared" si="5"/>
        <v>99680.857499999998</v>
      </c>
      <c r="M50" s="345"/>
      <c r="N50" s="345">
        <f t="shared" si="1"/>
        <v>12543.214335000001</v>
      </c>
      <c r="O50" s="345"/>
      <c r="P50" s="345">
        <f t="shared" si="2"/>
        <v>112224.071835</v>
      </c>
      <c r="Q50" s="184"/>
      <c r="R50" s="566"/>
      <c r="S50" s="225"/>
      <c r="T50" s="185"/>
      <c r="U50" s="185"/>
      <c r="V50" s="185"/>
      <c r="W50" s="185"/>
      <c r="X50" s="185"/>
      <c r="Y50" s="185"/>
      <c r="Z50" s="185"/>
      <c r="AA50" s="185"/>
      <c r="AB50" s="185"/>
      <c r="AC50" s="185"/>
      <c r="AD50" s="185"/>
      <c r="AE50" s="185"/>
      <c r="AF50" s="185"/>
      <c r="AG50" s="185"/>
      <c r="AH50" s="185"/>
      <c r="AI50" s="185"/>
    </row>
    <row r="51" spans="1:35" ht="15.5">
      <c r="A51" s="185"/>
      <c r="B51" s="181"/>
      <c r="C51" s="358"/>
      <c r="D51" s="343" t="s">
        <v>1298</v>
      </c>
      <c r="E51" s="562">
        <v>102158.16</v>
      </c>
      <c r="F51" s="345"/>
      <c r="G51" s="345">
        <f t="shared" si="3"/>
        <v>12885.082080000002</v>
      </c>
      <c r="H51" s="345"/>
      <c r="I51" s="345">
        <f t="shared" si="0"/>
        <v>24191.052288000003</v>
      </c>
      <c r="J51" s="345">
        <f t="shared" si="4"/>
        <v>139234.16</v>
      </c>
      <c r="K51" s="346"/>
      <c r="L51" s="345">
        <f t="shared" si="5"/>
        <v>102158.16</v>
      </c>
      <c r="M51" s="345"/>
      <c r="N51" s="345">
        <f t="shared" si="1"/>
        <v>12885.082080000002</v>
      </c>
      <c r="O51" s="345"/>
      <c r="P51" s="345">
        <f t="shared" si="2"/>
        <v>115043.24208000001</v>
      </c>
      <c r="Q51" s="184"/>
      <c r="R51" s="566"/>
      <c r="S51" s="225"/>
      <c r="T51" s="185"/>
      <c r="U51" s="185"/>
      <c r="V51" s="185"/>
      <c r="W51" s="185"/>
      <c r="X51" s="185"/>
      <c r="Y51" s="185"/>
      <c r="Z51" s="185"/>
      <c r="AA51" s="185"/>
      <c r="AB51" s="185"/>
      <c r="AC51" s="185"/>
      <c r="AD51" s="185"/>
      <c r="AE51" s="185"/>
      <c r="AF51" s="185"/>
      <c r="AG51" s="185"/>
      <c r="AH51" s="185"/>
      <c r="AI51" s="185"/>
    </row>
    <row r="52" spans="1:35" ht="15.5">
      <c r="A52" s="185"/>
      <c r="B52" s="181"/>
      <c r="C52" s="358"/>
      <c r="D52" s="343" t="s">
        <v>1299</v>
      </c>
      <c r="E52" s="562">
        <v>104686.83750000001</v>
      </c>
      <c r="F52" s="345"/>
      <c r="G52" s="345">
        <f t="shared" si="3"/>
        <v>13234.039575000003</v>
      </c>
      <c r="H52" s="345"/>
      <c r="I52" s="345">
        <f t="shared" si="0"/>
        <v>24789.843120000001</v>
      </c>
      <c r="J52" s="345">
        <f t="shared" si="4"/>
        <v>142710.83750000002</v>
      </c>
      <c r="K52" s="346"/>
      <c r="L52" s="345">
        <f t="shared" si="5"/>
        <v>104686.83750000001</v>
      </c>
      <c r="M52" s="345"/>
      <c r="N52" s="345">
        <f t="shared" si="1"/>
        <v>13234.039575000003</v>
      </c>
      <c r="O52" s="345"/>
      <c r="P52" s="345">
        <f t="shared" si="2"/>
        <v>117920.87707500001</v>
      </c>
      <c r="Q52" s="184"/>
      <c r="R52" s="566"/>
      <c r="S52" s="225"/>
      <c r="T52" s="185"/>
      <c r="U52" s="185"/>
      <c r="V52" s="185"/>
      <c r="W52" s="185"/>
      <c r="X52" s="185"/>
      <c r="Y52" s="185"/>
      <c r="Z52" s="185"/>
      <c r="AA52" s="185"/>
      <c r="AB52" s="185"/>
      <c r="AC52" s="185"/>
      <c r="AD52" s="185"/>
      <c r="AE52" s="185"/>
      <c r="AF52" s="185"/>
      <c r="AG52" s="185"/>
      <c r="AH52" s="185"/>
      <c r="AI52" s="185"/>
    </row>
    <row r="53" spans="1:35" ht="15.5">
      <c r="A53" s="185"/>
      <c r="B53" s="181"/>
      <c r="C53" s="358"/>
      <c r="D53" s="343" t="s">
        <v>1300</v>
      </c>
      <c r="E53" s="562">
        <v>107238.12000000001</v>
      </c>
      <c r="F53" s="345"/>
      <c r="G53" s="345">
        <f t="shared" si="3"/>
        <v>13586.116560000002</v>
      </c>
      <c r="H53" s="345"/>
      <c r="I53" s="345">
        <f t="shared" si="0"/>
        <v>25393.986816000004</v>
      </c>
      <c r="J53" s="345">
        <f t="shared" si="4"/>
        <v>146218.12</v>
      </c>
      <c r="K53" s="346"/>
      <c r="L53" s="345">
        <f t="shared" si="5"/>
        <v>107238.12000000001</v>
      </c>
      <c r="M53" s="345"/>
      <c r="N53" s="345">
        <f t="shared" si="1"/>
        <v>13586.116560000002</v>
      </c>
      <c r="O53" s="345"/>
      <c r="P53" s="345">
        <f t="shared" si="2"/>
        <v>120824.23656000002</v>
      </c>
      <c r="Q53" s="184"/>
      <c r="R53" s="566"/>
      <c r="S53" s="225"/>
      <c r="T53" s="185"/>
      <c r="U53" s="185"/>
      <c r="V53" s="185"/>
      <c r="W53" s="185"/>
      <c r="X53" s="185"/>
      <c r="Y53" s="185"/>
      <c r="Z53" s="185"/>
      <c r="AA53" s="185"/>
      <c r="AB53" s="185"/>
      <c r="AC53" s="185"/>
      <c r="AD53" s="185"/>
      <c r="AE53" s="185"/>
      <c r="AF53" s="185"/>
      <c r="AG53" s="185"/>
      <c r="AH53" s="185"/>
      <c r="AI53" s="185"/>
    </row>
    <row r="54" spans="1:35" ht="15.5">
      <c r="A54" s="185"/>
      <c r="B54" s="181"/>
      <c r="C54" s="358"/>
      <c r="D54" s="343" t="s">
        <v>1301</v>
      </c>
      <c r="E54" s="562">
        <v>109913.73</v>
      </c>
      <c r="F54" s="345"/>
      <c r="G54" s="345">
        <f t="shared" si="3"/>
        <v>13955.35074</v>
      </c>
      <c r="H54" s="345"/>
      <c r="I54" s="345">
        <f t="shared" si="0"/>
        <v>26027.571264000002</v>
      </c>
      <c r="J54" s="345">
        <f t="shared" si="4"/>
        <v>149896.72999999998</v>
      </c>
      <c r="K54" s="346"/>
      <c r="L54" s="345">
        <f t="shared" si="5"/>
        <v>109913.73</v>
      </c>
      <c r="M54" s="345"/>
      <c r="N54" s="345">
        <f t="shared" si="1"/>
        <v>13955.35074</v>
      </c>
      <c r="O54" s="345"/>
      <c r="P54" s="345">
        <f t="shared" si="2"/>
        <v>123869.08073999999</v>
      </c>
      <c r="Q54" s="184"/>
      <c r="R54" s="566"/>
      <c r="S54" s="225"/>
      <c r="T54" s="185"/>
      <c r="U54" s="185"/>
      <c r="V54" s="185"/>
      <c r="W54" s="185"/>
      <c r="X54" s="185"/>
      <c r="Y54" s="185"/>
      <c r="Z54" s="185"/>
      <c r="AA54" s="185"/>
      <c r="AB54" s="185"/>
      <c r="AC54" s="185"/>
      <c r="AD54" s="185"/>
      <c r="AE54" s="185"/>
      <c r="AF54" s="185"/>
      <c r="AG54" s="185"/>
      <c r="AH54" s="185"/>
      <c r="AI54" s="185"/>
    </row>
    <row r="55" spans="1:35" ht="15.5">
      <c r="A55" s="185"/>
      <c r="B55" s="181"/>
      <c r="C55" s="358"/>
      <c r="D55" s="343" t="s">
        <v>1302</v>
      </c>
      <c r="E55" s="562">
        <v>112659.21</v>
      </c>
      <c r="F55" s="345"/>
      <c r="G55" s="345">
        <f t="shared" si="3"/>
        <v>14334.226980000001</v>
      </c>
      <c r="H55" s="345"/>
      <c r="I55" s="345">
        <f t="shared" si="0"/>
        <v>26677.700928000002</v>
      </c>
      <c r="J55" s="345">
        <f t="shared" si="4"/>
        <v>153671.21000000002</v>
      </c>
      <c r="K55" s="346"/>
      <c r="L55" s="345">
        <f t="shared" si="5"/>
        <v>112659.21</v>
      </c>
      <c r="M55" s="345"/>
      <c r="N55" s="345">
        <f t="shared" si="1"/>
        <v>14334.226980000001</v>
      </c>
      <c r="O55" s="345"/>
      <c r="P55" s="345">
        <f t="shared" si="2"/>
        <v>126993.43698000001</v>
      </c>
      <c r="Q55" s="184"/>
      <c r="R55" s="566"/>
      <c r="S55" s="225"/>
      <c r="T55" s="185"/>
      <c r="U55" s="185"/>
      <c r="V55" s="185"/>
      <c r="W55" s="185"/>
      <c r="X55" s="185"/>
      <c r="Y55" s="185"/>
      <c r="Z55" s="185"/>
      <c r="AA55" s="185"/>
      <c r="AB55" s="185"/>
      <c r="AC55" s="185"/>
      <c r="AD55" s="185"/>
      <c r="AE55" s="185"/>
      <c r="AF55" s="185"/>
      <c r="AG55" s="185"/>
      <c r="AH55" s="185"/>
      <c r="AI55" s="185"/>
    </row>
    <row r="56" spans="1:35" ht="15.5">
      <c r="A56" s="185"/>
      <c r="B56" s="181"/>
      <c r="C56" s="358"/>
      <c r="D56" s="343" t="s">
        <v>1303</v>
      </c>
      <c r="E56" s="562">
        <v>115482.78000000001</v>
      </c>
      <c r="F56" s="345"/>
      <c r="G56" s="345">
        <f t="shared" si="3"/>
        <v>14723.879640000003</v>
      </c>
      <c r="H56" s="345"/>
      <c r="I56" s="345">
        <f t="shared" si="0"/>
        <v>27346.322304000005</v>
      </c>
      <c r="J56" s="345">
        <f t="shared" si="4"/>
        <v>157552.78000000003</v>
      </c>
      <c r="K56" s="346"/>
      <c r="L56" s="345">
        <f t="shared" si="5"/>
        <v>115482.78000000001</v>
      </c>
      <c r="M56" s="345"/>
      <c r="N56" s="345">
        <f t="shared" si="1"/>
        <v>14723.879640000003</v>
      </c>
      <c r="O56" s="345"/>
      <c r="P56" s="345">
        <f t="shared" si="2"/>
        <v>130206.65964000001</v>
      </c>
      <c r="Q56" s="184"/>
      <c r="R56" s="566"/>
      <c r="S56" s="225"/>
      <c r="T56" s="185"/>
      <c r="U56" s="185"/>
      <c r="V56" s="185"/>
      <c r="W56" s="185"/>
      <c r="X56" s="185"/>
      <c r="Y56" s="185"/>
      <c r="Z56" s="185"/>
      <c r="AA56" s="185"/>
      <c r="AB56" s="185"/>
      <c r="AC56" s="185"/>
      <c r="AD56" s="185"/>
      <c r="AE56" s="185"/>
      <c r="AF56" s="185"/>
      <c r="AG56" s="185"/>
      <c r="AH56" s="185"/>
      <c r="AI56" s="185"/>
    </row>
    <row r="57" spans="1:35" ht="15.5">
      <c r="A57" s="185"/>
      <c r="B57" s="181"/>
      <c r="C57" s="358"/>
      <c r="D57" s="343" t="s">
        <v>1304</v>
      </c>
      <c r="E57" s="562">
        <v>117196.65</v>
      </c>
      <c r="F57" s="345"/>
      <c r="G57" s="345">
        <f t="shared" si="3"/>
        <v>14960.393700000001</v>
      </c>
      <c r="H57" s="345"/>
      <c r="I57" s="345">
        <f t="shared" si="0"/>
        <v>27752.166720000001</v>
      </c>
      <c r="J57" s="581">
        <f t="shared" si="4"/>
        <v>159908.65</v>
      </c>
      <c r="K57" s="346"/>
      <c r="L57" s="345">
        <f t="shared" si="5"/>
        <v>117196.65</v>
      </c>
      <c r="M57" s="345"/>
      <c r="N57" s="345">
        <f t="shared" si="1"/>
        <v>14960.393700000001</v>
      </c>
      <c r="O57" s="345"/>
      <c r="P57" s="345">
        <f t="shared" si="2"/>
        <v>132157.04369999998</v>
      </c>
      <c r="Q57" s="184"/>
      <c r="R57" s="566"/>
      <c r="S57" s="225"/>
      <c r="T57" s="185"/>
      <c r="U57" s="185"/>
      <c r="V57" s="185"/>
      <c r="W57" s="185"/>
      <c r="X57" s="185"/>
      <c r="Y57" s="185"/>
      <c r="Z57" s="185"/>
      <c r="AA57" s="185"/>
      <c r="AB57" s="185"/>
      <c r="AC57" s="185"/>
      <c r="AD57" s="185"/>
      <c r="AE57" s="185"/>
      <c r="AF57" s="185"/>
      <c r="AG57" s="185"/>
      <c r="AH57" s="185"/>
      <c r="AI57" s="185"/>
    </row>
    <row r="58" spans="1:35" ht="13" hidden="1">
      <c r="A58" s="185"/>
      <c r="B58" s="569"/>
      <c r="C58" s="570"/>
      <c r="D58" s="571"/>
      <c r="E58" s="572">
        <f>SUM(E15:E57)</f>
        <v>3182692.5524999998</v>
      </c>
      <c r="F58" s="572"/>
      <c r="G58" s="572">
        <f>SUM(G15:G57)</f>
        <v>387063.58024500008</v>
      </c>
      <c r="H58" s="572"/>
      <c r="I58" s="572">
        <f>SUM(I15:I57)</f>
        <v>753661.59643200005</v>
      </c>
      <c r="J58" s="572">
        <f>SUM(J15:J57)</f>
        <v>4323418.5524999993</v>
      </c>
      <c r="K58" s="573"/>
      <c r="L58" s="572">
        <f>SUM(L15:L57)</f>
        <v>3182692.5524999998</v>
      </c>
      <c r="M58" s="572"/>
      <c r="N58" s="572">
        <f t="shared" si="1"/>
        <v>437998.82824499998</v>
      </c>
      <c r="O58" s="572"/>
      <c r="P58" s="572">
        <f t="shared" si="2"/>
        <v>3620691.3807449997</v>
      </c>
      <c r="Q58" s="574"/>
      <c r="R58" s="566"/>
      <c r="S58" s="185"/>
      <c r="T58" s="185"/>
      <c r="U58" s="185"/>
      <c r="V58" s="185"/>
      <c r="W58" s="185"/>
      <c r="X58" s="185"/>
      <c r="Y58" s="185"/>
      <c r="Z58" s="185"/>
      <c r="AA58" s="185"/>
      <c r="AB58" s="185"/>
      <c r="AC58" s="185"/>
      <c r="AD58" s="185"/>
      <c r="AE58" s="185"/>
      <c r="AF58" s="185"/>
      <c r="AG58" s="185"/>
      <c r="AH58" s="185"/>
      <c r="AI58" s="185"/>
    </row>
    <row r="59" spans="1:35" ht="13.5" thickBot="1">
      <c r="A59" s="185"/>
      <c r="B59" s="575"/>
      <c r="C59" s="197"/>
      <c r="D59" s="576"/>
      <c r="E59" s="577"/>
      <c r="F59" s="577"/>
      <c r="G59" s="577"/>
      <c r="H59" s="577"/>
      <c r="I59" s="577"/>
      <c r="J59" s="577"/>
      <c r="K59" s="368"/>
      <c r="L59" s="578"/>
      <c r="M59" s="577"/>
      <c r="N59" s="577"/>
      <c r="O59" s="577"/>
      <c r="P59" s="577"/>
      <c r="Q59" s="203"/>
      <c r="R59" s="566"/>
      <c r="S59" s="185"/>
      <c r="T59" s="185"/>
      <c r="U59" s="185"/>
      <c r="V59" s="185"/>
      <c r="W59" s="185"/>
      <c r="X59" s="185"/>
      <c r="Y59" s="185"/>
      <c r="Z59" s="185"/>
      <c r="AA59" s="185"/>
      <c r="AB59" s="185"/>
      <c r="AC59" s="185"/>
      <c r="AD59" s="185"/>
      <c r="AE59" s="185"/>
      <c r="AF59" s="185"/>
      <c r="AG59" s="185"/>
      <c r="AH59" s="185"/>
      <c r="AI59" s="185"/>
    </row>
    <row r="60" spans="1:35" ht="13">
      <c r="A60" s="185"/>
      <c r="B60" s="579"/>
      <c r="C60" s="525"/>
      <c r="D60" s="580"/>
      <c r="E60" s="563"/>
      <c r="F60" s="563"/>
      <c r="G60" s="563"/>
      <c r="H60" s="563"/>
      <c r="I60" s="563"/>
      <c r="J60" s="563"/>
      <c r="K60" s="563"/>
      <c r="L60" s="563"/>
      <c r="M60" s="563"/>
      <c r="N60" s="563"/>
      <c r="O60" s="563"/>
      <c r="P60" s="563"/>
      <c r="Q60" s="185"/>
      <c r="R60" s="566"/>
      <c r="S60" s="185"/>
      <c r="T60" s="185"/>
      <c r="U60" s="185"/>
      <c r="V60" s="185"/>
      <c r="W60" s="185"/>
      <c r="X60" s="185"/>
      <c r="Y60" s="185"/>
      <c r="Z60" s="185"/>
      <c r="AA60" s="185"/>
      <c r="AB60" s="185"/>
      <c r="AC60" s="185"/>
      <c r="AD60" s="185"/>
      <c r="AE60" s="185"/>
      <c r="AF60" s="185"/>
      <c r="AG60" s="185"/>
      <c r="AH60" s="185"/>
      <c r="AI60" s="185"/>
    </row>
    <row r="61" spans="1:35">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row>
    <row r="62" spans="1:35">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row>
    <row r="63" spans="1:35">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row>
    <row r="64" spans="1:35">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row>
    <row r="65" spans="1:35">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row>
    <row r="66" spans="1:35">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row>
    <row r="67" spans="1:35">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row>
    <row r="68" spans="1:35">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row>
    <row r="69" spans="1:35">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row>
    <row r="70" spans="1:35">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row>
    <row r="71" spans="1:35">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row>
    <row r="72" spans="1:35">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row>
    <row r="73" spans="1:35">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row>
    <row r="74" spans="1:35">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row>
    <row r="75" spans="1:35">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row>
    <row r="76" spans="1:35">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row>
    <row r="77" spans="1:35">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row>
    <row r="78" spans="1:35">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row>
  </sheetData>
  <mergeCells count="5">
    <mergeCell ref="B1:Q1"/>
    <mergeCell ref="B3:Q4"/>
    <mergeCell ref="B6:M6"/>
    <mergeCell ref="B11:K11"/>
    <mergeCell ref="L11:Q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2:G11"/>
  <sheetViews>
    <sheetView workbookViewId="0">
      <selection activeCell="G31" sqref="G31"/>
    </sheetView>
  </sheetViews>
  <sheetFormatPr defaultColWidth="9" defaultRowHeight="14"/>
  <cols>
    <col min="1" max="1" width="7.58203125" style="1" customWidth="1"/>
    <col min="2" max="2" width="10" style="1" customWidth="1"/>
    <col min="3" max="3" width="4.5" style="1" bestFit="1" customWidth="1"/>
    <col min="4" max="4" width="8.25" style="1" customWidth="1"/>
    <col min="5" max="5" width="9.33203125" style="1" customWidth="1"/>
    <col min="6" max="6" width="7.33203125" style="1" customWidth="1"/>
    <col min="7" max="7" width="10.75" style="1" customWidth="1"/>
    <col min="8" max="16384" width="9" style="1"/>
  </cols>
  <sheetData>
    <row r="2" spans="1:7">
      <c r="A2" s="1113" t="s">
        <v>63</v>
      </c>
      <c r="B2" s="1113"/>
      <c r="C2" s="1113"/>
      <c r="D2" s="1113"/>
      <c r="E2" s="1113"/>
      <c r="F2" s="1113"/>
      <c r="G2" s="1113"/>
    </row>
    <row r="4" spans="1:7" s="53" customFormat="1" ht="30" customHeight="1">
      <c r="A4" s="55" t="s">
        <v>64</v>
      </c>
      <c r="B4" s="56" t="s">
        <v>65</v>
      </c>
      <c r="C4" s="55" t="s">
        <v>66</v>
      </c>
      <c r="D4" s="56" t="s">
        <v>67</v>
      </c>
      <c r="E4" s="56" t="s">
        <v>68</v>
      </c>
      <c r="F4" s="56" t="s">
        <v>69</v>
      </c>
      <c r="G4" s="56" t="s">
        <v>70</v>
      </c>
    </row>
    <row r="5" spans="1:7">
      <c r="A5" s="57" t="s">
        <v>71</v>
      </c>
      <c r="B5" s="58">
        <f t="shared" ref="B5:G5" si="0">B29</f>
        <v>0</v>
      </c>
      <c r="C5" s="59">
        <f t="shared" si="0"/>
        <v>0</v>
      </c>
      <c r="D5" s="58">
        <f t="shared" si="0"/>
        <v>0</v>
      </c>
      <c r="E5" s="58">
        <f t="shared" si="0"/>
        <v>0</v>
      </c>
      <c r="F5" s="58">
        <f t="shared" si="0"/>
        <v>0</v>
      </c>
      <c r="G5" s="58">
        <f t="shared" si="0"/>
        <v>0</v>
      </c>
    </row>
    <row r="6" spans="1:7">
      <c r="A6" s="57" t="s">
        <v>72</v>
      </c>
      <c r="B6" s="58">
        <f t="shared" ref="B6:G6" si="1">B53</f>
        <v>0</v>
      </c>
      <c r="C6" s="59">
        <f t="shared" si="1"/>
        <v>0</v>
      </c>
      <c r="D6" s="58">
        <f t="shared" si="1"/>
        <v>0</v>
      </c>
      <c r="E6" s="58">
        <f t="shared" si="1"/>
        <v>0</v>
      </c>
      <c r="F6" s="58">
        <f t="shared" si="1"/>
        <v>0</v>
      </c>
      <c r="G6" s="58">
        <f t="shared" si="1"/>
        <v>0</v>
      </c>
    </row>
    <row r="7" spans="1:7">
      <c r="A7" s="57" t="s">
        <v>73</v>
      </c>
      <c r="B7" s="58">
        <f t="shared" ref="B7:G7" si="2">B74</f>
        <v>0</v>
      </c>
      <c r="C7" s="59">
        <f t="shared" si="2"/>
        <v>0</v>
      </c>
      <c r="D7" s="58">
        <f t="shared" si="2"/>
        <v>0</v>
      </c>
      <c r="E7" s="58">
        <f t="shared" si="2"/>
        <v>0</v>
      </c>
      <c r="F7" s="58">
        <f t="shared" si="2"/>
        <v>0</v>
      </c>
      <c r="G7" s="58">
        <f t="shared" si="2"/>
        <v>0</v>
      </c>
    </row>
    <row r="8" spans="1:7">
      <c r="A8" s="57" t="s">
        <v>74</v>
      </c>
      <c r="B8" s="58"/>
      <c r="C8" s="59">
        <v>4</v>
      </c>
      <c r="D8" s="58"/>
      <c r="E8" s="58">
        <v>0</v>
      </c>
      <c r="F8" s="58"/>
      <c r="G8" s="58"/>
    </row>
    <row r="9" spans="1:7">
      <c r="A9" s="57" t="s">
        <v>75</v>
      </c>
      <c r="B9" s="58"/>
      <c r="C9" s="59">
        <v>2</v>
      </c>
      <c r="D9" s="58"/>
      <c r="E9" s="58">
        <v>0</v>
      </c>
      <c r="F9" s="58"/>
      <c r="G9" s="58"/>
    </row>
    <row r="10" spans="1:7">
      <c r="A10" s="57" t="s">
        <v>76</v>
      </c>
      <c r="B10" s="58"/>
      <c r="C10" s="59">
        <v>0</v>
      </c>
      <c r="D10" s="58"/>
      <c r="E10" s="58">
        <v>0</v>
      </c>
      <c r="F10" s="58"/>
      <c r="G10" s="58"/>
    </row>
    <row r="11" spans="1:7">
      <c r="A11" s="60" t="s">
        <v>77</v>
      </c>
      <c r="B11" s="61">
        <f>SUM(B5:B10)</f>
        <v>0</v>
      </c>
      <c r="C11" s="62">
        <f t="shared" ref="C11:G11" si="3">SUM(C5:C10)</f>
        <v>6</v>
      </c>
      <c r="D11" s="61">
        <f t="shared" si="3"/>
        <v>0</v>
      </c>
      <c r="E11" s="61">
        <f t="shared" si="3"/>
        <v>0</v>
      </c>
      <c r="F11" s="61">
        <f t="shared" si="3"/>
        <v>0</v>
      </c>
      <c r="G11" s="61">
        <f t="shared" si="3"/>
        <v>0</v>
      </c>
    </row>
  </sheetData>
  <mergeCells count="1">
    <mergeCell ref="A2:G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P125"/>
  <sheetViews>
    <sheetView zoomScale="80" zoomScaleNormal="80" workbookViewId="0">
      <selection activeCell="G10" sqref="G10"/>
    </sheetView>
  </sheetViews>
  <sheetFormatPr defaultColWidth="8" defaultRowHeight="15.5"/>
  <cols>
    <col min="1" max="1" width="55.58203125" style="373" customWidth="1"/>
    <col min="2" max="2" width="28.25" style="373" customWidth="1"/>
    <col min="3" max="3" width="2.75" style="373" bestFit="1" customWidth="1"/>
    <col min="4" max="4" width="28.5" style="373" customWidth="1"/>
    <col min="5" max="5" width="7" style="373" customWidth="1"/>
    <col min="6" max="6" width="44.58203125" style="373" customWidth="1"/>
    <col min="7" max="7" width="36.58203125" style="373" customWidth="1"/>
    <col min="8" max="8" width="3.58203125" style="373" bestFit="1" customWidth="1"/>
    <col min="9" max="9" width="2.58203125" style="373" customWidth="1"/>
    <col min="10" max="10" width="16.75" style="373" customWidth="1"/>
    <col min="11" max="11" width="9" style="373" bestFit="1" customWidth="1"/>
    <col min="12" max="16384" width="8" style="373"/>
  </cols>
  <sheetData>
    <row r="1" spans="1:13">
      <c r="A1" s="371" t="s">
        <v>1305</v>
      </c>
      <c r="B1" s="371"/>
      <c r="C1" s="371"/>
      <c r="D1" s="372"/>
      <c r="E1" s="371"/>
      <c r="F1" s="372"/>
      <c r="G1" s="371"/>
      <c r="H1" s="372"/>
      <c r="I1" s="372"/>
      <c r="J1" s="372"/>
      <c r="K1" s="372"/>
      <c r="L1" s="372"/>
      <c r="M1" s="372"/>
    </row>
    <row r="2" spans="1:13" ht="15" customHeight="1">
      <c r="A2" s="371"/>
      <c r="B2" s="371"/>
      <c r="C2" s="371"/>
      <c r="D2" s="372"/>
      <c r="E2" s="371"/>
      <c r="F2" s="372"/>
      <c r="G2" s="372"/>
      <c r="H2" s="372"/>
      <c r="I2" s="372"/>
      <c r="J2" s="372"/>
      <c r="K2" s="372"/>
      <c r="L2" s="372"/>
      <c r="M2" s="372"/>
    </row>
    <row r="3" spans="1:13" ht="15.75" customHeight="1">
      <c r="A3" s="371" t="s">
        <v>1306</v>
      </c>
      <c r="B3" s="374"/>
      <c r="C3" s="374"/>
      <c r="D3" s="374"/>
      <c r="E3" s="374"/>
      <c r="F3" s="374"/>
      <c r="G3" s="374"/>
      <c r="H3" s="372"/>
      <c r="I3" s="372"/>
      <c r="J3" s="372"/>
      <c r="K3" s="371"/>
      <c r="L3" s="372"/>
      <c r="M3" s="375"/>
    </row>
    <row r="4" spans="1:13">
      <c r="A4" s="371"/>
      <c r="G4" s="376"/>
      <c r="H4" s="372"/>
      <c r="I4" s="372"/>
      <c r="J4" s="372"/>
      <c r="K4" s="371"/>
      <c r="L4" s="372"/>
      <c r="M4" s="372"/>
    </row>
    <row r="5" spans="1:13">
      <c r="A5" s="377" t="s">
        <v>1307</v>
      </c>
      <c r="B5" s="378"/>
      <c r="C5" s="372"/>
      <c r="D5" s="371" t="e">
        <v>#N/A</v>
      </c>
      <c r="E5" s="379"/>
      <c r="F5" s="371"/>
      <c r="G5" s="376"/>
      <c r="H5" s="372"/>
      <c r="I5" s="372"/>
      <c r="J5" s="372"/>
      <c r="K5" s="371"/>
      <c r="L5" s="372"/>
      <c r="M5" s="372"/>
    </row>
    <row r="6" spans="1:13">
      <c r="A6" s="377"/>
      <c r="B6" s="372"/>
      <c r="C6" s="372"/>
      <c r="D6" s="371"/>
      <c r="E6" s="379"/>
      <c r="F6" s="371"/>
      <c r="G6" s="376"/>
      <c r="H6" s="372"/>
      <c r="I6" s="372"/>
      <c r="J6" s="372"/>
      <c r="K6" s="371"/>
      <c r="L6" s="372"/>
      <c r="M6" s="372"/>
    </row>
    <row r="7" spans="1:13">
      <c r="A7" s="372"/>
      <c r="B7" s="380"/>
      <c r="C7" s="380"/>
      <c r="D7" s="380"/>
      <c r="E7" s="372"/>
      <c r="F7" s="1204" t="s">
        <v>1308</v>
      </c>
      <c r="G7" s="1204"/>
      <c r="H7" s="372"/>
      <c r="I7" s="372"/>
      <c r="J7" s="381"/>
      <c r="K7" s="372"/>
      <c r="L7" s="372"/>
      <c r="M7" s="372"/>
    </row>
    <row r="8" spans="1:13">
      <c r="A8" s="372"/>
      <c r="B8" s="371"/>
      <c r="C8" s="371"/>
      <c r="D8" s="371"/>
      <c r="E8" s="372"/>
      <c r="F8" s="372"/>
      <c r="G8" s="372"/>
      <c r="H8" s="372"/>
      <c r="I8" s="372"/>
      <c r="J8" s="381"/>
      <c r="K8" s="372"/>
      <c r="L8" s="372"/>
      <c r="M8" s="372"/>
    </row>
    <row r="9" spans="1:13">
      <c r="A9" s="382" t="s">
        <v>124</v>
      </c>
      <c r="B9" s="371" t="s">
        <v>1309</v>
      </c>
      <c r="C9" s="372"/>
      <c r="D9" s="371" t="s">
        <v>800</v>
      </c>
      <c r="E9" s="372"/>
      <c r="F9" s="382" t="s">
        <v>124</v>
      </c>
      <c r="G9" s="371" t="s">
        <v>1310</v>
      </c>
      <c r="H9" s="372"/>
      <c r="I9" s="372"/>
      <c r="J9" s="381"/>
      <c r="K9" s="372"/>
      <c r="L9" s="372"/>
      <c r="M9" s="372"/>
    </row>
    <row r="10" spans="1:13">
      <c r="A10" s="372" t="s">
        <v>139</v>
      </c>
      <c r="B10" s="383" t="e">
        <v>#N/A</v>
      </c>
      <c r="C10" s="384"/>
      <c r="D10" s="383" t="e">
        <v>#N/A</v>
      </c>
      <c r="F10" s="372" t="s">
        <v>139</v>
      </c>
      <c r="G10" s="383" t="e">
        <v>#N/A</v>
      </c>
      <c r="H10" s="385"/>
      <c r="I10" s="372"/>
      <c r="J10" s="381"/>
      <c r="K10" s="372"/>
      <c r="L10" s="372"/>
      <c r="M10" s="372"/>
    </row>
    <row r="11" spans="1:13">
      <c r="A11" s="372" t="s">
        <v>1311</v>
      </c>
      <c r="B11" s="383" t="e">
        <v>#N/A</v>
      </c>
      <c r="C11" s="384"/>
      <c r="D11" s="383" t="e">
        <v>#N/A</v>
      </c>
      <c r="F11" s="372" t="s">
        <v>1311</v>
      </c>
      <c r="G11" s="383" t="e">
        <v>#N/A</v>
      </c>
      <c r="H11" s="385"/>
      <c r="I11" s="372"/>
      <c r="J11" s="381"/>
      <c r="K11" s="372"/>
      <c r="L11" s="372"/>
      <c r="M11" s="372"/>
    </row>
    <row r="12" spans="1:13">
      <c r="A12" s="372" t="s">
        <v>1312</v>
      </c>
      <c r="B12" s="383" t="e">
        <v>#N/A</v>
      </c>
      <c r="C12" s="384"/>
      <c r="D12" s="383" t="e">
        <v>#N/A</v>
      </c>
      <c r="E12" s="372">
        <v>2</v>
      </c>
      <c r="F12" s="372" t="s">
        <v>1312</v>
      </c>
      <c r="G12" s="383" t="e">
        <v>#N/A</v>
      </c>
      <c r="H12" s="385"/>
      <c r="I12" s="372"/>
      <c r="J12" s="381"/>
      <c r="K12" s="372"/>
      <c r="L12" s="372"/>
      <c r="M12" s="372"/>
    </row>
    <row r="13" spans="1:13">
      <c r="A13" s="372" t="s">
        <v>1313</v>
      </c>
      <c r="B13" s="383" t="e">
        <v>#N/A</v>
      </c>
      <c r="C13" s="384"/>
      <c r="D13" s="383" t="e">
        <v>#N/A</v>
      </c>
      <c r="E13" s="372"/>
      <c r="F13" s="372" t="s">
        <v>1313</v>
      </c>
      <c r="G13" s="383" t="e">
        <v>#N/A</v>
      </c>
      <c r="H13" s="385"/>
      <c r="I13" s="372"/>
      <c r="J13" s="381"/>
      <c r="K13" s="372"/>
      <c r="L13" s="372"/>
      <c r="M13" s="372"/>
    </row>
    <row r="14" spans="1:13">
      <c r="A14" s="372" t="s">
        <v>1314</v>
      </c>
      <c r="B14" s="383" t="e">
        <v>#N/A</v>
      </c>
      <c r="C14" s="384"/>
      <c r="D14" s="383" t="e">
        <v>#N/A</v>
      </c>
      <c r="E14" s="372"/>
      <c r="F14" s="372" t="s">
        <v>1314</v>
      </c>
      <c r="G14" s="383" t="e">
        <v>#N/A</v>
      </c>
      <c r="H14" s="385"/>
      <c r="I14" s="372"/>
      <c r="J14" s="381"/>
      <c r="K14" s="372"/>
      <c r="L14" s="372"/>
      <c r="M14" s="372"/>
    </row>
    <row r="15" spans="1:13">
      <c r="A15" s="372" t="s">
        <v>1315</v>
      </c>
      <c r="B15" s="383" t="e">
        <v>#N/A</v>
      </c>
      <c r="C15" s="384"/>
      <c r="D15" s="383" t="e">
        <v>#N/A</v>
      </c>
      <c r="E15" s="372"/>
      <c r="F15" s="372" t="s">
        <v>1315</v>
      </c>
      <c r="G15" s="383" t="e">
        <v>#N/A</v>
      </c>
      <c r="H15" s="385"/>
      <c r="I15" s="372"/>
      <c r="J15" s="381"/>
      <c r="K15" s="372"/>
      <c r="L15" s="372"/>
      <c r="M15" s="372"/>
    </row>
    <row r="16" spans="1:13">
      <c r="A16" s="372" t="s">
        <v>1316</v>
      </c>
      <c r="B16" s="383" t="e">
        <v>#N/A</v>
      </c>
      <c r="C16" s="384"/>
      <c r="D16" s="386"/>
      <c r="E16" s="372"/>
      <c r="F16" s="372" t="s">
        <v>1316</v>
      </c>
      <c r="G16" s="387" t="e">
        <v>#N/A</v>
      </c>
      <c r="H16" s="385"/>
      <c r="I16" s="372"/>
      <c r="J16" s="381"/>
      <c r="K16" s="372"/>
      <c r="L16" s="372"/>
      <c r="M16" s="372"/>
    </row>
    <row r="17" spans="1:13">
      <c r="A17" s="372" t="s">
        <v>1317</v>
      </c>
      <c r="B17" s="388" t="e">
        <v>#N/A</v>
      </c>
      <c r="C17" s="381">
        <v>1</v>
      </c>
      <c r="D17" s="389" t="e">
        <v>#N/A</v>
      </c>
      <c r="E17" s="372">
        <v>3</v>
      </c>
      <c r="F17" s="371" t="s">
        <v>1318</v>
      </c>
      <c r="G17" s="390" t="e">
        <v>#N/A</v>
      </c>
      <c r="H17" s="372">
        <v>11</v>
      </c>
      <c r="I17" s="372"/>
      <c r="J17" s="383"/>
      <c r="K17" s="384"/>
      <c r="L17" s="372"/>
      <c r="M17" s="372"/>
    </row>
    <row r="18" spans="1:13">
      <c r="E18" s="372"/>
      <c r="I18" s="372"/>
      <c r="J18" s="391"/>
      <c r="K18" s="384"/>
      <c r="L18" s="372"/>
      <c r="M18" s="372"/>
    </row>
    <row r="19" spans="1:13">
      <c r="A19" s="372"/>
      <c r="B19" s="392" t="s">
        <v>1319</v>
      </c>
      <c r="C19" s="384"/>
      <c r="D19" s="392" t="s">
        <v>1320</v>
      </c>
      <c r="E19" s="372"/>
      <c r="F19" s="393" t="s">
        <v>1321</v>
      </c>
      <c r="G19" s="384"/>
      <c r="H19" s="372"/>
      <c r="I19" s="372"/>
      <c r="J19" s="391"/>
      <c r="K19" s="372"/>
      <c r="L19" s="372"/>
      <c r="M19" s="372"/>
    </row>
    <row r="20" spans="1:13">
      <c r="A20" s="372"/>
      <c r="B20" s="392"/>
      <c r="C20" s="384"/>
      <c r="D20" s="392"/>
      <c r="E20" s="372"/>
      <c r="F20" s="394" t="s">
        <v>1322</v>
      </c>
      <c r="G20" s="384"/>
      <c r="H20" s="395"/>
      <c r="I20" s="372"/>
      <c r="K20" s="372"/>
      <c r="L20" s="372"/>
      <c r="M20" s="372"/>
    </row>
    <row r="21" spans="1:13" ht="13.5" customHeight="1">
      <c r="A21" s="372" t="s">
        <v>1323</v>
      </c>
      <c r="B21" s="396" t="e">
        <v>#N/A</v>
      </c>
      <c r="C21" s="381"/>
      <c r="D21" s="381" t="e">
        <v>#N/A</v>
      </c>
      <c r="E21" s="372">
        <v>4</v>
      </c>
      <c r="F21" s="383" t="s">
        <v>1324</v>
      </c>
      <c r="G21" s="384" t="e">
        <v>#N/A</v>
      </c>
      <c r="H21" s="397">
        <v>12</v>
      </c>
      <c r="I21" s="372"/>
      <c r="J21" s="381"/>
      <c r="K21" s="398"/>
      <c r="L21" s="372"/>
      <c r="M21" s="372"/>
    </row>
    <row r="22" spans="1:13" ht="13.5" customHeight="1">
      <c r="A22" s="372"/>
      <c r="B22" s="384"/>
      <c r="C22" s="384"/>
      <c r="D22" s="384"/>
      <c r="E22" s="372"/>
      <c r="F22" s="383" t="s">
        <v>1325</v>
      </c>
      <c r="G22" s="384" t="e">
        <v>#N/A</v>
      </c>
      <c r="H22" s="397">
        <v>13</v>
      </c>
      <c r="I22" s="372"/>
      <c r="J22" s="381"/>
      <c r="K22" s="398"/>
      <c r="L22" s="372"/>
      <c r="M22" s="372"/>
    </row>
    <row r="23" spans="1:13">
      <c r="A23" s="399" t="s">
        <v>1326</v>
      </c>
      <c r="B23" s="400" t="e">
        <v>#N/A</v>
      </c>
      <c r="C23" s="381">
        <v>5</v>
      </c>
      <c r="D23" s="384"/>
      <c r="E23" s="372"/>
      <c r="G23" s="383"/>
      <c r="H23" s="372"/>
      <c r="I23" s="372"/>
      <c r="J23" s="381"/>
      <c r="K23" s="384"/>
      <c r="L23" s="372"/>
      <c r="M23" s="372"/>
    </row>
    <row r="24" spans="1:13">
      <c r="A24" s="372"/>
      <c r="F24" s="401" t="s">
        <v>1327</v>
      </c>
      <c r="G24" s="384"/>
      <c r="H24" s="397"/>
      <c r="I24" s="372"/>
      <c r="J24" s="381"/>
      <c r="K24" s="372"/>
      <c r="L24" s="372"/>
      <c r="M24" s="372"/>
    </row>
    <row r="25" spans="1:13" ht="12.75" customHeight="1">
      <c r="A25" s="372" t="s">
        <v>815</v>
      </c>
      <c r="B25" s="383" t="e">
        <v>#N/A</v>
      </c>
      <c r="C25" s="383"/>
      <c r="D25" s="383" t="e">
        <v>#N/A</v>
      </c>
      <c r="E25" s="373">
        <v>6</v>
      </c>
      <c r="F25" s="383" t="s">
        <v>1328</v>
      </c>
      <c r="G25" s="384" t="e">
        <v>#N/A</v>
      </c>
      <c r="H25" s="397">
        <v>14</v>
      </c>
      <c r="J25" s="402"/>
      <c r="K25" s="384"/>
      <c r="L25" s="372"/>
      <c r="M25" s="372"/>
    </row>
    <row r="26" spans="1:13" ht="12.75" customHeight="1">
      <c r="A26" s="403"/>
      <c r="B26" s="404"/>
      <c r="C26" s="404"/>
      <c r="D26" s="404"/>
      <c r="F26" s="383" t="s">
        <v>1329</v>
      </c>
      <c r="G26" s="384" t="e">
        <v>#N/A</v>
      </c>
      <c r="H26" s="397">
        <v>15</v>
      </c>
      <c r="I26" s="372"/>
      <c r="J26" s="402"/>
      <c r="K26" s="372"/>
      <c r="L26" s="372"/>
      <c r="M26" s="372"/>
    </row>
    <row r="27" spans="1:13">
      <c r="A27" s="405"/>
      <c r="B27" s="406" t="s">
        <v>1330</v>
      </c>
      <c r="C27" s="406"/>
      <c r="D27" s="407" t="s">
        <v>1331</v>
      </c>
      <c r="F27" s="383" t="s">
        <v>1332</v>
      </c>
      <c r="G27" s="408" t="e">
        <v>#N/A</v>
      </c>
      <c r="H27" s="397">
        <v>16</v>
      </c>
      <c r="I27" s="372"/>
      <c r="J27" s="402"/>
      <c r="K27" s="372"/>
      <c r="L27" s="372"/>
      <c r="M27" s="372"/>
    </row>
    <row r="28" spans="1:13">
      <c r="A28" s="409" t="s">
        <v>1333</v>
      </c>
      <c r="B28" s="383" t="e">
        <v>#N/A</v>
      </c>
      <c r="C28" s="383"/>
      <c r="D28" s="410" t="e">
        <v>#N/A</v>
      </c>
      <c r="F28" s="383" t="s">
        <v>1334</v>
      </c>
      <c r="G28" s="411" t="e">
        <f>SUM(G21:G27)</f>
        <v>#N/A</v>
      </c>
      <c r="H28" s="372">
        <v>17</v>
      </c>
      <c r="I28" s="372"/>
      <c r="J28" s="402"/>
      <c r="K28" s="372"/>
      <c r="L28" s="372"/>
      <c r="M28" s="372"/>
    </row>
    <row r="29" spans="1:13">
      <c r="A29" s="412" t="s">
        <v>1335</v>
      </c>
      <c r="B29" s="413" t="e">
        <f>D12+D13+D14-B28-D28</f>
        <v>#N/A</v>
      </c>
      <c r="C29" s="414"/>
      <c r="D29" s="415"/>
      <c r="E29" s="373">
        <v>7</v>
      </c>
      <c r="F29" s="383"/>
      <c r="G29" s="384"/>
      <c r="H29" s="372"/>
      <c r="I29" s="372"/>
      <c r="J29" s="402"/>
      <c r="K29" s="372"/>
      <c r="L29" s="372"/>
      <c r="M29" s="372"/>
    </row>
    <row r="30" spans="1:13" ht="12.75" customHeight="1" thickBot="1">
      <c r="A30" s="372"/>
      <c r="F30" s="416" t="s">
        <v>1336</v>
      </c>
      <c r="G30" s="392" t="e">
        <f>G17+G28</f>
        <v>#N/A</v>
      </c>
      <c r="H30" s="372">
        <v>18</v>
      </c>
      <c r="I30" s="372"/>
      <c r="J30" s="402"/>
      <c r="K30" s="372"/>
      <c r="L30" s="372"/>
      <c r="M30" s="372"/>
    </row>
    <row r="31" spans="1:13" ht="12.75" customHeight="1" thickBot="1">
      <c r="A31" s="372"/>
      <c r="B31" s="417" t="s">
        <v>1337</v>
      </c>
      <c r="C31" s="418"/>
      <c r="D31" s="419" t="e">
        <v>#N/A</v>
      </c>
      <c r="E31" s="372">
        <v>8</v>
      </c>
      <c r="I31" s="372"/>
      <c r="J31" s="383"/>
      <c r="K31" s="384"/>
      <c r="L31" s="372"/>
      <c r="M31" s="372"/>
    </row>
    <row r="32" spans="1:13" ht="12.75" customHeight="1" thickBot="1">
      <c r="A32" s="399"/>
      <c r="B32" s="371"/>
      <c r="D32" s="371"/>
      <c r="E32" s="372"/>
      <c r="I32" s="372"/>
      <c r="J32" s="383"/>
      <c r="K32" s="372"/>
      <c r="L32" s="372"/>
      <c r="M32" s="372"/>
    </row>
    <row r="33" spans="1:14" ht="12.75" customHeight="1">
      <c r="A33" s="372"/>
      <c r="B33" s="420" t="s">
        <v>1338</v>
      </c>
      <c r="C33" s="421"/>
      <c r="D33" s="422" t="s">
        <v>1339</v>
      </c>
      <c r="E33" s="372">
        <v>9</v>
      </c>
      <c r="I33" s="372"/>
      <c r="J33" s="383"/>
      <c r="K33" s="372"/>
      <c r="L33" s="372"/>
      <c r="M33" s="372"/>
    </row>
    <row r="34" spans="1:14" ht="12.75" customHeight="1">
      <c r="A34" s="399"/>
      <c r="B34" s="423" t="s">
        <v>689</v>
      </c>
      <c r="C34" s="424"/>
      <c r="D34" s="425" t="e">
        <v>#N/A</v>
      </c>
      <c r="E34" s="372"/>
      <c r="I34" s="372"/>
      <c r="J34" s="383"/>
      <c r="K34" s="372"/>
      <c r="L34" s="372"/>
      <c r="M34" s="372"/>
    </row>
    <row r="35" spans="1:14">
      <c r="A35" s="372"/>
      <c r="B35" s="423" t="s">
        <v>691</v>
      </c>
      <c r="C35" s="424"/>
      <c r="D35" s="425" t="e">
        <v>#N/A</v>
      </c>
      <c r="E35" s="372"/>
      <c r="I35" s="372"/>
      <c r="K35" s="372"/>
      <c r="L35" s="372"/>
      <c r="M35" s="372"/>
    </row>
    <row r="36" spans="1:14" ht="12.75" customHeight="1" thickBot="1">
      <c r="B36" s="423" t="s">
        <v>693</v>
      </c>
      <c r="C36" s="424"/>
      <c r="D36" s="425" t="e">
        <v>#N/A</v>
      </c>
      <c r="E36" s="372"/>
      <c r="G36" s="426"/>
      <c r="I36" s="372"/>
      <c r="J36" s="394"/>
      <c r="K36" s="372"/>
      <c r="L36" s="372"/>
      <c r="M36" s="399"/>
      <c r="N36" s="427"/>
    </row>
    <row r="37" spans="1:14" ht="12.75" customHeight="1">
      <c r="A37" s="399"/>
      <c r="B37" s="423" t="s">
        <v>695</v>
      </c>
      <c r="C37" s="424"/>
      <c r="D37" s="425" t="e">
        <v>#N/A</v>
      </c>
      <c r="E37" s="372"/>
      <c r="F37" s="420" t="s">
        <v>1340</v>
      </c>
      <c r="G37" s="428" t="s">
        <v>783</v>
      </c>
      <c r="H37" s="398"/>
      <c r="I37" s="372"/>
      <c r="J37" s="394"/>
      <c r="K37" s="372"/>
      <c r="L37" s="372"/>
      <c r="M37" s="399"/>
      <c r="N37" s="429"/>
    </row>
    <row r="38" spans="1:14">
      <c r="B38" s="423" t="s">
        <v>697</v>
      </c>
      <c r="C38" s="424"/>
      <c r="D38" s="425" t="e">
        <v>#N/A</v>
      </c>
      <c r="E38" s="372"/>
      <c r="F38" s="430" t="s">
        <v>1341</v>
      </c>
      <c r="G38" s="431" t="e">
        <v>#N/A</v>
      </c>
      <c r="H38" s="372">
        <v>19</v>
      </c>
      <c r="I38" s="372"/>
      <c r="J38" s="381"/>
      <c r="K38" s="372"/>
      <c r="L38" s="372"/>
      <c r="M38" s="399"/>
      <c r="N38" s="427"/>
    </row>
    <row r="39" spans="1:14" ht="13.5" customHeight="1">
      <c r="A39" s="372"/>
      <c r="B39" s="432" t="s">
        <v>698</v>
      </c>
      <c r="C39" s="433"/>
      <c r="D39" s="434" t="e">
        <v>#N/A</v>
      </c>
      <c r="E39" s="372"/>
      <c r="F39" s="430" t="s">
        <v>1342</v>
      </c>
      <c r="G39" s="431" t="e">
        <v>#N/A</v>
      </c>
      <c r="H39" s="372"/>
      <c r="I39" s="372"/>
      <c r="J39" s="381"/>
      <c r="K39" s="372"/>
      <c r="L39" s="372"/>
      <c r="M39" s="372"/>
    </row>
    <row r="40" spans="1:14" ht="13.5" customHeight="1" thickBot="1">
      <c r="A40" s="372"/>
      <c r="B40" s="435" t="s">
        <v>699</v>
      </c>
      <c r="C40" s="436"/>
      <c r="D40" s="437" t="e">
        <v>#N/A</v>
      </c>
      <c r="E40" s="372"/>
      <c r="F40" s="430"/>
      <c r="G40" s="431"/>
      <c r="H40" s="372"/>
      <c r="I40" s="372"/>
      <c r="J40" s="381"/>
      <c r="K40" s="372"/>
      <c r="L40" s="372"/>
      <c r="M40" s="372"/>
    </row>
    <row r="41" spans="1:14" ht="12.75" customHeight="1" thickTop="1" thickBot="1">
      <c r="A41" s="372"/>
      <c r="B41" s="384"/>
      <c r="C41" s="384"/>
      <c r="D41" s="438"/>
      <c r="E41" s="372"/>
      <c r="F41" s="430" t="s">
        <v>1343</v>
      </c>
      <c r="G41" s="431" t="e">
        <v>#N/A</v>
      </c>
      <c r="H41" s="372">
        <v>20</v>
      </c>
      <c r="I41" s="372"/>
      <c r="J41" s="381"/>
      <c r="K41" s="372"/>
      <c r="L41" s="372"/>
      <c r="M41" s="372"/>
    </row>
    <row r="42" spans="1:14" ht="12.75" customHeight="1" thickBot="1">
      <c r="A42" s="372"/>
      <c r="B42" s="439" t="s">
        <v>1344</v>
      </c>
      <c r="C42" s="421"/>
      <c r="D42" s="440" t="s">
        <v>1345</v>
      </c>
      <c r="E42" s="372">
        <v>10</v>
      </c>
      <c r="F42" s="441" t="s">
        <v>1346</v>
      </c>
      <c r="G42" s="442" t="e">
        <v>#N/A</v>
      </c>
      <c r="H42" s="372"/>
      <c r="I42" s="372"/>
      <c r="J42" s="381"/>
      <c r="K42" s="372"/>
      <c r="L42" s="372"/>
      <c r="M42" s="372"/>
    </row>
    <row r="43" spans="1:14" ht="12.75" customHeight="1" thickBot="1">
      <c r="A43" s="372"/>
      <c r="B43" s="443" t="s">
        <v>1347</v>
      </c>
      <c r="C43" s="444"/>
      <c r="D43" s="445" t="e">
        <v>#N/A</v>
      </c>
      <c r="E43" s="372"/>
      <c r="I43" s="372"/>
      <c r="J43" s="381"/>
      <c r="K43" s="372"/>
      <c r="L43" s="372"/>
      <c r="M43" s="372"/>
    </row>
    <row r="44" spans="1:14" ht="16" thickBot="1">
      <c r="A44" s="372"/>
      <c r="B44" s="384"/>
      <c r="C44" s="384"/>
      <c r="D44" s="392"/>
      <c r="E44" s="372"/>
      <c r="F44" s="372"/>
      <c r="G44" s="384"/>
      <c r="H44" s="383"/>
    </row>
    <row r="45" spans="1:14">
      <c r="A45" s="446" t="s">
        <v>1348</v>
      </c>
      <c r="B45" s="1205" t="s">
        <v>683</v>
      </c>
      <c r="C45" s="447"/>
      <c r="D45" s="1205" t="s">
        <v>713</v>
      </c>
      <c r="E45" s="448" t="s">
        <v>1349</v>
      </c>
      <c r="F45" s="449"/>
      <c r="G45" s="450"/>
      <c r="H45" s="396">
        <v>21</v>
      </c>
    </row>
    <row r="46" spans="1:14">
      <c r="A46" s="451" t="s">
        <v>1350</v>
      </c>
      <c r="B46" s="1206"/>
      <c r="C46" s="452"/>
      <c r="D46" s="1206"/>
      <c r="E46" s="453"/>
      <c r="F46" s="454"/>
      <c r="G46" s="455"/>
      <c r="H46" s="383"/>
    </row>
    <row r="47" spans="1:14">
      <c r="A47" s="423" t="s">
        <v>689</v>
      </c>
      <c r="B47" s="456" t="s">
        <v>690</v>
      </c>
      <c r="C47" s="456"/>
      <c r="D47" s="457">
        <v>6286.622831709632</v>
      </c>
      <c r="E47" s="458" t="s">
        <v>743</v>
      </c>
      <c r="F47" s="459"/>
      <c r="G47" s="460"/>
      <c r="H47" s="383"/>
    </row>
    <row r="48" spans="1:14">
      <c r="A48" s="423" t="s">
        <v>691</v>
      </c>
      <c r="B48" s="456" t="s">
        <v>692</v>
      </c>
      <c r="C48" s="456"/>
      <c r="D48" s="457">
        <v>7483.9238429115967</v>
      </c>
      <c r="E48" s="458" t="s">
        <v>1351</v>
      </c>
      <c r="F48" s="459"/>
      <c r="G48" s="460"/>
    </row>
    <row r="49" spans="1:16">
      <c r="A49" s="423" t="s">
        <v>693</v>
      </c>
      <c r="B49" s="461" t="s">
        <v>744</v>
      </c>
      <c r="C49" s="456"/>
      <c r="D49" s="457">
        <v>12059.161550335179</v>
      </c>
      <c r="E49" s="458" t="s">
        <v>745</v>
      </c>
      <c r="F49" s="459"/>
      <c r="G49" s="460"/>
    </row>
    <row r="50" spans="1:16">
      <c r="A50" s="423" t="s">
        <v>695</v>
      </c>
      <c r="B50" s="458" t="s">
        <v>696</v>
      </c>
      <c r="C50" s="456"/>
      <c r="D50" s="457">
        <v>14998.922493994021</v>
      </c>
      <c r="E50" s="458" t="s">
        <v>741</v>
      </c>
      <c r="F50" s="459"/>
      <c r="G50" s="460"/>
    </row>
    <row r="51" spans="1:16" ht="12" customHeight="1">
      <c r="A51" s="423" t="s">
        <v>697</v>
      </c>
      <c r="B51" s="456" t="s">
        <v>696</v>
      </c>
      <c r="C51" s="456"/>
      <c r="D51" s="457">
        <v>14998.922493994021</v>
      </c>
      <c r="E51" s="458" t="s">
        <v>741</v>
      </c>
      <c r="F51" s="459"/>
      <c r="G51" s="460"/>
    </row>
    <row r="52" spans="1:16" ht="12" customHeight="1">
      <c r="A52" s="432" t="s">
        <v>698</v>
      </c>
      <c r="B52" s="458" t="s">
        <v>696</v>
      </c>
      <c r="C52" s="456"/>
      <c r="D52" s="457">
        <v>16085.825977239108</v>
      </c>
      <c r="E52" s="462" t="s">
        <v>749</v>
      </c>
      <c r="F52" s="463"/>
      <c r="G52" s="464"/>
    </row>
    <row r="53" spans="1:16" ht="12" customHeight="1">
      <c r="A53" s="465" t="s">
        <v>699</v>
      </c>
      <c r="B53" s="456" t="s">
        <v>700</v>
      </c>
      <c r="C53" s="456"/>
      <c r="D53" s="457">
        <v>22876.188537117905</v>
      </c>
      <c r="E53" s="466" t="s">
        <v>1352</v>
      </c>
      <c r="F53" s="467"/>
      <c r="G53" s="468"/>
    </row>
    <row r="54" spans="1:16" ht="12" customHeight="1">
      <c r="A54" s="469"/>
      <c r="B54" s="470"/>
      <c r="C54" s="470"/>
      <c r="D54" s="471"/>
      <c r="E54" s="472"/>
      <c r="F54" s="473"/>
      <c r="G54" s="474"/>
    </row>
    <row r="55" spans="1:16" ht="16" thickBot="1">
      <c r="A55" s="475" t="s">
        <v>746</v>
      </c>
      <c r="B55" s="476" t="s">
        <v>1353</v>
      </c>
      <c r="C55" s="477"/>
      <c r="D55" s="457">
        <v>2635</v>
      </c>
      <c r="E55" s="478" t="s">
        <v>1354</v>
      </c>
      <c r="F55" s="479"/>
      <c r="G55" s="480"/>
    </row>
    <row r="56" spans="1:16">
      <c r="B56" s="426"/>
      <c r="D56" s="383"/>
    </row>
    <row r="57" spans="1:16" ht="12" customHeight="1" thickBot="1"/>
    <row r="58" spans="1:16" ht="12" customHeight="1">
      <c r="A58" s="481" t="s">
        <v>1355</v>
      </c>
      <c r="B58" s="482" t="s">
        <v>139</v>
      </c>
      <c r="C58" s="483"/>
      <c r="D58" s="484" t="s">
        <v>141</v>
      </c>
      <c r="E58" s="483"/>
      <c r="F58" s="428" t="s">
        <v>1356</v>
      </c>
      <c r="G58" s="373">
        <v>22</v>
      </c>
    </row>
    <row r="59" spans="1:16" ht="12" customHeight="1">
      <c r="A59" s="485" t="s">
        <v>1357</v>
      </c>
      <c r="B59" s="457">
        <v>305000</v>
      </c>
      <c r="C59" s="456"/>
      <c r="D59" s="457">
        <v>100000</v>
      </c>
      <c r="E59" s="456"/>
      <c r="F59" s="486">
        <v>600000</v>
      </c>
      <c r="G59" s="487"/>
      <c r="P59" s="383"/>
    </row>
    <row r="60" spans="1:16" ht="12" customHeight="1">
      <c r="A60" s="485" t="s">
        <v>1358</v>
      </c>
      <c r="B60" s="457">
        <v>332500</v>
      </c>
      <c r="C60" s="456"/>
      <c r="D60" s="457">
        <v>105000</v>
      </c>
      <c r="E60" s="456"/>
      <c r="F60" s="486">
        <v>700000</v>
      </c>
      <c r="G60" s="488"/>
      <c r="P60" s="383"/>
    </row>
    <row r="61" spans="1:16" ht="12" customHeight="1">
      <c r="A61" s="485" t="s">
        <v>137</v>
      </c>
      <c r="B61" s="457">
        <v>360000</v>
      </c>
      <c r="C61" s="456"/>
      <c r="D61" s="457">
        <v>110000</v>
      </c>
      <c r="E61" s="456"/>
      <c r="F61" s="486">
        <v>950000</v>
      </c>
      <c r="G61" s="488"/>
      <c r="P61" s="383"/>
    </row>
    <row r="62" spans="1:16" ht="12" customHeight="1">
      <c r="A62" s="485" t="s">
        <v>1359</v>
      </c>
      <c r="B62" s="457">
        <v>390000</v>
      </c>
      <c r="C62" s="456"/>
      <c r="D62" s="457">
        <v>115000</v>
      </c>
      <c r="E62" s="456"/>
      <c r="F62" s="486">
        <v>1100000</v>
      </c>
      <c r="G62" s="488"/>
      <c r="P62" s="383"/>
    </row>
    <row r="63" spans="1:16" ht="12" customHeight="1">
      <c r="A63" s="485" t="s">
        <v>1360</v>
      </c>
      <c r="B63" s="457">
        <v>420000</v>
      </c>
      <c r="C63" s="456"/>
      <c r="D63" s="457">
        <v>120000</v>
      </c>
      <c r="E63" s="456"/>
      <c r="F63" s="486">
        <v>1400000</v>
      </c>
      <c r="G63" s="488"/>
      <c r="P63" s="383"/>
    </row>
    <row r="64" spans="1:16" ht="12" customHeight="1">
      <c r="A64" s="485" t="s">
        <v>1361</v>
      </c>
      <c r="B64" s="457">
        <v>455000</v>
      </c>
      <c r="C64" s="456"/>
      <c r="D64" s="457">
        <v>130000</v>
      </c>
      <c r="E64" s="456"/>
      <c r="F64" s="486">
        <v>1600000</v>
      </c>
      <c r="G64" s="488"/>
      <c r="P64" s="383"/>
    </row>
    <row r="65" spans="1:16" ht="12" customHeight="1">
      <c r="A65" s="485" t="s">
        <v>1362</v>
      </c>
      <c r="B65" s="457">
        <v>490000</v>
      </c>
      <c r="C65" s="456"/>
      <c r="D65" s="457">
        <v>140000</v>
      </c>
      <c r="E65" s="456"/>
      <c r="F65" s="486">
        <v>1950000</v>
      </c>
      <c r="G65" s="488"/>
      <c r="P65" s="383"/>
    </row>
    <row r="66" spans="1:16" ht="12" customHeight="1">
      <c r="A66" s="485" t="s">
        <v>1363</v>
      </c>
      <c r="B66" s="457">
        <v>525000</v>
      </c>
      <c r="C66" s="456"/>
      <c r="D66" s="457">
        <v>145000</v>
      </c>
      <c r="E66" s="456"/>
      <c r="F66" s="486">
        <v>2200000</v>
      </c>
      <c r="G66" s="488"/>
      <c r="P66" s="383"/>
    </row>
    <row r="67" spans="1:16" ht="12" customHeight="1">
      <c r="A67" s="485" t="s">
        <v>1364</v>
      </c>
      <c r="B67" s="457">
        <v>560000</v>
      </c>
      <c r="C67" s="456"/>
      <c r="D67" s="457">
        <v>150000</v>
      </c>
      <c r="E67" s="456"/>
      <c r="F67" s="486">
        <v>2600000</v>
      </c>
      <c r="G67" s="488"/>
      <c r="P67" s="383"/>
    </row>
    <row r="68" spans="1:16" ht="12" customHeight="1">
      <c r="A68" s="485" t="s">
        <v>1365</v>
      </c>
      <c r="B68" s="457">
        <v>595000</v>
      </c>
      <c r="C68" s="456"/>
      <c r="D68" s="457">
        <v>155000</v>
      </c>
      <c r="E68" s="456"/>
      <c r="F68" s="486">
        <v>2900000</v>
      </c>
      <c r="G68" s="488"/>
      <c r="P68" s="383"/>
    </row>
    <row r="69" spans="1:16" ht="12" customHeight="1">
      <c r="A69" s="489" t="s">
        <v>1366</v>
      </c>
      <c r="B69" s="490">
        <v>630000</v>
      </c>
      <c r="C69" s="491"/>
      <c r="D69" s="490">
        <v>160000</v>
      </c>
      <c r="E69" s="491"/>
      <c r="F69" s="492">
        <v>3350000</v>
      </c>
      <c r="G69" s="488"/>
      <c r="P69" s="383"/>
    </row>
    <row r="70" spans="1:16" ht="12" customHeight="1">
      <c r="A70" s="493"/>
      <c r="B70" s="494"/>
      <c r="C70" s="495"/>
      <c r="D70" s="494"/>
      <c r="E70" s="495"/>
      <c r="F70" s="496"/>
      <c r="G70" s="488"/>
    </row>
    <row r="71" spans="1:16" ht="12" customHeight="1">
      <c r="A71" s="485" t="s">
        <v>1367</v>
      </c>
      <c r="B71" s="497">
        <v>270000</v>
      </c>
      <c r="C71" s="456"/>
      <c r="D71" s="457">
        <v>85000</v>
      </c>
      <c r="E71" s="456"/>
      <c r="F71" s="486">
        <v>600000</v>
      </c>
      <c r="G71" s="373">
        <v>23</v>
      </c>
    </row>
    <row r="72" spans="1:16" ht="12" customHeight="1">
      <c r="A72" s="485" t="s">
        <v>1368</v>
      </c>
      <c r="B72" s="497">
        <v>305000</v>
      </c>
      <c r="C72" s="456"/>
      <c r="D72" s="457">
        <v>85000</v>
      </c>
      <c r="E72" s="456"/>
      <c r="F72" s="486">
        <v>700000</v>
      </c>
    </row>
    <row r="73" spans="1:16" ht="12" customHeight="1">
      <c r="A73" s="485" t="s">
        <v>1369</v>
      </c>
      <c r="B73" s="497">
        <v>340000</v>
      </c>
      <c r="C73" s="456"/>
      <c r="D73" s="457">
        <v>85000</v>
      </c>
      <c r="E73" s="456"/>
      <c r="F73" s="486">
        <v>950000</v>
      </c>
    </row>
    <row r="74" spans="1:16" ht="12" customHeight="1">
      <c r="A74" s="485" t="s">
        <v>1370</v>
      </c>
      <c r="B74" s="497">
        <v>350000</v>
      </c>
      <c r="C74" s="456"/>
      <c r="D74" s="457">
        <v>85000</v>
      </c>
      <c r="E74" s="456"/>
      <c r="F74" s="486">
        <v>1100000</v>
      </c>
    </row>
    <row r="75" spans="1:16" ht="16" thickBot="1">
      <c r="A75" s="498" t="s">
        <v>1371</v>
      </c>
      <c r="B75" s="499">
        <v>360000</v>
      </c>
      <c r="C75" s="477"/>
      <c r="D75" s="500">
        <v>85000</v>
      </c>
      <c r="E75" s="477"/>
      <c r="F75" s="501">
        <v>1400000</v>
      </c>
    </row>
    <row r="76" spans="1:16" ht="12" customHeight="1">
      <c r="H76" s="502"/>
    </row>
    <row r="77" spans="1:16" ht="12" customHeight="1">
      <c r="H77" s="502"/>
    </row>
    <row r="78" spans="1:16" ht="2.25" customHeight="1">
      <c r="H78" s="502"/>
    </row>
    <row r="79" spans="1:16" ht="2.25" customHeight="1">
      <c r="H79" s="502"/>
    </row>
    <row r="80" spans="1:16" ht="2.25" customHeight="1">
      <c r="H80" s="502"/>
    </row>
    <row r="81" spans="1:10" ht="15" customHeight="1">
      <c r="A81" s="503" t="s">
        <v>1372</v>
      </c>
      <c r="B81" s="504"/>
      <c r="C81" s="504"/>
      <c r="D81" s="504"/>
      <c r="E81" s="504"/>
      <c r="F81" s="504"/>
      <c r="G81" s="505"/>
      <c r="I81" s="506"/>
      <c r="J81" s="506"/>
    </row>
    <row r="82" spans="1:10" ht="15" customHeight="1">
      <c r="A82" s="507"/>
      <c r="B82" s="507"/>
      <c r="C82" s="507"/>
      <c r="D82" s="507"/>
      <c r="E82" s="507"/>
      <c r="F82" s="507"/>
      <c r="G82" s="507"/>
      <c r="H82" s="502"/>
    </row>
    <row r="83" spans="1:10" ht="175" customHeight="1">
      <c r="A83" s="1207" t="s">
        <v>1373</v>
      </c>
      <c r="B83" s="1208"/>
      <c r="C83" s="1208"/>
      <c r="D83" s="1208"/>
      <c r="E83" s="1208"/>
      <c r="F83" s="1208"/>
      <c r="G83" s="1209"/>
      <c r="H83" s="502"/>
    </row>
    <row r="84" spans="1:10" ht="15" customHeight="1">
      <c r="A84" s="508"/>
      <c r="B84" s="508"/>
      <c r="C84" s="508"/>
      <c r="D84" s="508"/>
      <c r="E84" s="508"/>
      <c r="F84" s="508"/>
      <c r="G84" s="508"/>
      <c r="H84" s="509"/>
    </row>
    <row r="85" spans="1:10" ht="15" customHeight="1">
      <c r="A85" s="1210" t="s">
        <v>1374</v>
      </c>
      <c r="B85" s="1211"/>
      <c r="C85" s="1211"/>
      <c r="D85" s="1211"/>
      <c r="E85" s="1211"/>
      <c r="F85" s="1211"/>
      <c r="G85" s="1212"/>
      <c r="H85" s="509"/>
    </row>
    <row r="86" spans="1:10" ht="15" customHeight="1">
      <c r="A86" s="508"/>
      <c r="B86" s="508"/>
      <c r="C86" s="508"/>
      <c r="D86" s="508"/>
      <c r="E86" s="508"/>
      <c r="F86" s="508"/>
      <c r="G86" s="508"/>
      <c r="H86" s="509"/>
    </row>
    <row r="87" spans="1:10" ht="31.5" customHeight="1">
      <c r="A87" s="1202" t="s">
        <v>1375</v>
      </c>
      <c r="B87" s="1202"/>
      <c r="C87" s="1202"/>
      <c r="D87" s="1202"/>
      <c r="E87" s="1202"/>
      <c r="F87" s="1202"/>
      <c r="G87" s="1203"/>
      <c r="H87" s="509"/>
    </row>
    <row r="88" spans="1:10" ht="15" customHeight="1">
      <c r="A88" s="507"/>
      <c r="B88" s="504"/>
      <c r="C88" s="504"/>
      <c r="D88" s="504"/>
      <c r="E88" s="504"/>
      <c r="F88" s="504"/>
      <c r="G88" s="504"/>
      <c r="H88" s="509"/>
    </row>
    <row r="89" spans="1:10" ht="79.5" customHeight="1">
      <c r="A89" s="1207" t="s">
        <v>1376</v>
      </c>
      <c r="B89" s="1208"/>
      <c r="C89" s="1208"/>
      <c r="D89" s="1208"/>
      <c r="E89" s="1208"/>
      <c r="F89" s="1208"/>
      <c r="G89" s="1209"/>
      <c r="H89" s="509"/>
    </row>
    <row r="90" spans="1:10" ht="15" customHeight="1">
      <c r="A90" s="507"/>
      <c r="B90" s="507"/>
      <c r="C90" s="507"/>
      <c r="D90" s="507"/>
      <c r="E90" s="507"/>
      <c r="F90" s="507"/>
      <c r="G90" s="507"/>
      <c r="H90" s="509"/>
    </row>
    <row r="91" spans="1:10" ht="43" customHeight="1">
      <c r="A91" s="1208" t="s">
        <v>1377</v>
      </c>
      <c r="B91" s="1213"/>
      <c r="C91" s="1213"/>
      <c r="D91" s="1213"/>
      <c r="E91" s="1213"/>
      <c r="F91" s="1213"/>
      <c r="G91" s="1214"/>
      <c r="H91" s="509"/>
    </row>
    <row r="92" spans="1:10" ht="15" customHeight="1">
      <c r="A92" s="507"/>
      <c r="B92" s="507"/>
      <c r="C92" s="507"/>
      <c r="D92" s="507"/>
      <c r="E92" s="507"/>
      <c r="F92" s="507"/>
      <c r="G92" s="507"/>
      <c r="H92" s="509"/>
    </row>
    <row r="93" spans="1:10" ht="66.75" customHeight="1">
      <c r="A93" s="1215" t="s">
        <v>1378</v>
      </c>
      <c r="B93" s="1216"/>
      <c r="C93" s="1216"/>
      <c r="D93" s="1216"/>
      <c r="E93" s="1216"/>
      <c r="F93" s="1216"/>
      <c r="G93" s="1217"/>
      <c r="H93" s="509"/>
    </row>
    <row r="94" spans="1:10" ht="15" customHeight="1">
      <c r="A94" s="507"/>
      <c r="B94" s="507"/>
      <c r="C94" s="507"/>
      <c r="D94" s="507"/>
      <c r="E94" s="507"/>
      <c r="F94" s="507"/>
      <c r="G94" s="507"/>
      <c r="H94" s="509"/>
    </row>
    <row r="95" spans="1:10" ht="19" customHeight="1">
      <c r="A95" s="503" t="s">
        <v>1379</v>
      </c>
      <c r="B95" s="504"/>
      <c r="C95" s="504"/>
      <c r="D95" s="504"/>
      <c r="E95" s="504"/>
      <c r="F95" s="504"/>
      <c r="G95" s="505"/>
    </row>
    <row r="96" spans="1:10" ht="15" customHeight="1">
      <c r="A96" s="507"/>
      <c r="B96" s="507"/>
      <c r="C96" s="507"/>
      <c r="D96" s="507"/>
      <c r="E96" s="507"/>
      <c r="F96" s="507"/>
      <c r="G96" s="507"/>
    </row>
    <row r="97" spans="1:8" ht="28.5" customHeight="1">
      <c r="A97" s="1207" t="s">
        <v>1380</v>
      </c>
      <c r="B97" s="1208"/>
      <c r="C97" s="1208"/>
      <c r="D97" s="1208"/>
      <c r="E97" s="1208"/>
      <c r="F97" s="1208"/>
      <c r="G97" s="1209"/>
    </row>
    <row r="98" spans="1:8" ht="15" customHeight="1">
      <c r="A98" s="507"/>
      <c r="B98" s="507"/>
      <c r="C98" s="507"/>
      <c r="D98" s="507"/>
      <c r="E98" s="507"/>
      <c r="F98" s="507"/>
      <c r="G98" s="507"/>
    </row>
    <row r="99" spans="1:8" ht="78" customHeight="1">
      <c r="A99" s="1218" t="s">
        <v>1381</v>
      </c>
      <c r="B99" s="1202"/>
      <c r="C99" s="1202"/>
      <c r="D99" s="1202"/>
      <c r="E99" s="1202"/>
      <c r="F99" s="1202"/>
      <c r="G99" s="1203"/>
    </row>
    <row r="100" spans="1:8">
      <c r="A100" s="510"/>
      <c r="B100" s="511"/>
      <c r="C100" s="511"/>
      <c r="D100" s="511"/>
      <c r="E100" s="511"/>
      <c r="F100" s="511"/>
      <c r="G100" s="512"/>
    </row>
    <row r="101" spans="1:8" ht="41.25" customHeight="1">
      <c r="A101" s="1207" t="s">
        <v>1382</v>
      </c>
      <c r="B101" s="1208"/>
      <c r="C101" s="1208"/>
      <c r="D101" s="1208"/>
      <c r="E101" s="1208"/>
      <c r="F101" s="1208"/>
      <c r="G101" s="1209"/>
      <c r="H101" s="509"/>
    </row>
    <row r="102" spans="1:8" ht="15" customHeight="1">
      <c r="A102" s="507"/>
      <c r="B102" s="507"/>
      <c r="C102" s="507"/>
      <c r="D102" s="507"/>
      <c r="E102" s="507"/>
      <c r="F102" s="507"/>
      <c r="G102" s="507"/>
      <c r="H102" s="509"/>
    </row>
    <row r="103" spans="1:8" ht="42.75" customHeight="1">
      <c r="A103" s="1207" t="s">
        <v>1383</v>
      </c>
      <c r="B103" s="1208"/>
      <c r="C103" s="1208"/>
      <c r="D103" s="1208"/>
      <c r="E103" s="1208"/>
      <c r="F103" s="1208"/>
      <c r="G103" s="1209"/>
      <c r="H103" s="509"/>
    </row>
    <row r="104" spans="1:8" ht="15" customHeight="1">
      <c r="A104" s="507"/>
      <c r="B104" s="507"/>
      <c r="C104" s="507"/>
      <c r="D104" s="507"/>
      <c r="E104" s="507"/>
      <c r="F104" s="507"/>
      <c r="G104" s="507"/>
      <c r="H104" s="509"/>
    </row>
    <row r="105" spans="1:8" ht="32.15" customHeight="1">
      <c r="A105" s="1207" t="s">
        <v>1384</v>
      </c>
      <c r="B105" s="1219"/>
      <c r="C105" s="1219"/>
      <c r="D105" s="1219"/>
      <c r="E105" s="1219"/>
      <c r="F105" s="1219"/>
      <c r="G105" s="1220"/>
      <c r="H105" s="502"/>
    </row>
    <row r="106" spans="1:8" ht="15" customHeight="1">
      <c r="A106" s="507"/>
      <c r="B106" s="507"/>
      <c r="C106" s="507"/>
      <c r="D106" s="507"/>
      <c r="E106" s="507"/>
      <c r="F106" s="507"/>
      <c r="G106" s="507"/>
      <c r="H106" s="502"/>
    </row>
    <row r="107" spans="1:8" ht="44.25" customHeight="1">
      <c r="A107" s="1207" t="s">
        <v>1385</v>
      </c>
      <c r="B107" s="1208"/>
      <c r="C107" s="1208"/>
      <c r="D107" s="1208"/>
      <c r="E107" s="1208"/>
      <c r="F107" s="1208"/>
      <c r="G107" s="1209"/>
      <c r="H107" s="502"/>
    </row>
    <row r="108" spans="1:8" ht="15" customHeight="1">
      <c r="A108" s="507"/>
      <c r="B108" s="507"/>
      <c r="C108" s="507"/>
      <c r="D108" s="507"/>
      <c r="E108" s="507"/>
      <c r="F108" s="507"/>
      <c r="G108" s="507"/>
      <c r="H108" s="502"/>
    </row>
    <row r="109" spans="1:8" ht="44.25" customHeight="1">
      <c r="A109" s="1207" t="s">
        <v>1386</v>
      </c>
      <c r="B109" s="1208"/>
      <c r="C109" s="1208"/>
      <c r="D109" s="1208"/>
      <c r="E109" s="1208"/>
      <c r="F109" s="1208"/>
      <c r="G109" s="1209"/>
      <c r="H109" s="502"/>
    </row>
    <row r="110" spans="1:8" ht="15" customHeight="1">
      <c r="A110" s="507"/>
      <c r="B110" s="507"/>
      <c r="C110" s="507"/>
      <c r="D110" s="507"/>
      <c r="E110" s="507"/>
      <c r="F110" s="507"/>
      <c r="G110" s="507"/>
      <c r="H110" s="502"/>
    </row>
    <row r="111" spans="1:8" ht="18" customHeight="1">
      <c r="A111" s="1207" t="s">
        <v>1387</v>
      </c>
      <c r="B111" s="1208"/>
      <c r="C111" s="1208"/>
      <c r="D111" s="1208"/>
      <c r="E111" s="1208"/>
      <c r="F111" s="1208"/>
      <c r="G111" s="1209"/>
      <c r="H111" s="502"/>
    </row>
    <row r="112" spans="1:8" ht="15" customHeight="1">
      <c r="A112" s="507"/>
      <c r="B112" s="507"/>
      <c r="C112" s="507"/>
      <c r="D112" s="507"/>
      <c r="E112" s="507"/>
      <c r="F112" s="507"/>
      <c r="G112" s="507"/>
    </row>
    <row r="113" spans="1:7" ht="15" customHeight="1">
      <c r="A113" s="1210" t="s">
        <v>1388</v>
      </c>
      <c r="B113" s="1211"/>
      <c r="C113" s="1211"/>
      <c r="D113" s="1211"/>
      <c r="E113" s="1211"/>
      <c r="F113" s="1211"/>
      <c r="G113" s="1212"/>
    </row>
    <row r="114" spans="1:7" ht="15" customHeight="1">
      <c r="A114" s="507"/>
      <c r="B114" s="507"/>
      <c r="C114" s="507"/>
      <c r="D114" s="507"/>
      <c r="E114" s="507"/>
      <c r="F114" s="507"/>
      <c r="G114" s="507"/>
    </row>
    <row r="115" spans="1:7">
      <c r="A115" s="503" t="s">
        <v>1389</v>
      </c>
      <c r="B115" s="504"/>
      <c r="C115" s="504"/>
      <c r="D115" s="504"/>
      <c r="E115" s="504"/>
      <c r="F115" s="504"/>
      <c r="G115" s="505"/>
    </row>
    <row r="116" spans="1:7" ht="15" customHeight="1">
      <c r="A116" s="508"/>
      <c r="B116" s="508"/>
      <c r="C116" s="508"/>
      <c r="D116" s="508"/>
      <c r="E116" s="508"/>
      <c r="F116" s="508"/>
      <c r="G116" s="508"/>
    </row>
    <row r="117" spans="1:7" ht="43.5" customHeight="1">
      <c r="A117" s="1207" t="s">
        <v>1390</v>
      </c>
      <c r="B117" s="1208"/>
      <c r="C117" s="1208"/>
      <c r="D117" s="1208"/>
      <c r="E117" s="1208"/>
      <c r="F117" s="1208"/>
      <c r="G117" s="1209"/>
    </row>
    <row r="118" spans="1:7" ht="15" customHeight="1">
      <c r="A118" s="507"/>
      <c r="B118" s="507"/>
      <c r="C118" s="507"/>
      <c r="D118" s="507"/>
      <c r="E118" s="507"/>
      <c r="F118" s="507"/>
      <c r="G118" s="507"/>
    </row>
    <row r="119" spans="1:7" ht="32.15" customHeight="1">
      <c r="A119" s="1207" t="s">
        <v>1391</v>
      </c>
      <c r="B119" s="1208"/>
      <c r="C119" s="1208"/>
      <c r="D119" s="1208"/>
      <c r="E119" s="1208"/>
      <c r="F119" s="1208"/>
      <c r="G119" s="1209"/>
    </row>
    <row r="121" spans="1:7" ht="63.65" customHeight="1">
      <c r="A121" s="1207" t="s">
        <v>1392</v>
      </c>
      <c r="B121" s="1208"/>
      <c r="C121" s="1208"/>
      <c r="D121" s="1208"/>
      <c r="E121" s="1208"/>
      <c r="F121" s="1208"/>
      <c r="G121" s="1209"/>
    </row>
    <row r="123" spans="1:7" ht="67.5" customHeight="1">
      <c r="A123" s="1207" t="s">
        <v>1393</v>
      </c>
      <c r="B123" s="1208"/>
      <c r="C123" s="1208"/>
      <c r="D123" s="1208"/>
      <c r="E123" s="1208"/>
      <c r="F123" s="1208"/>
      <c r="G123" s="1209"/>
    </row>
    <row r="125" spans="1:7" ht="58.5" customHeight="1">
      <c r="A125" s="1207" t="s">
        <v>1394</v>
      </c>
      <c r="B125" s="1208"/>
      <c r="C125" s="1208"/>
      <c r="D125" s="1208"/>
      <c r="E125" s="1208"/>
      <c r="F125" s="1208"/>
      <c r="G125" s="1209"/>
    </row>
  </sheetData>
  <mergeCells count="23">
    <mergeCell ref="A117:G117"/>
    <mergeCell ref="A119:G119"/>
    <mergeCell ref="A121:G121"/>
    <mergeCell ref="A123:G123"/>
    <mergeCell ref="A125:G125"/>
    <mergeCell ref="A113:G113"/>
    <mergeCell ref="A89:G89"/>
    <mergeCell ref="A91:G91"/>
    <mergeCell ref="A93:G93"/>
    <mergeCell ref="A97:G97"/>
    <mergeCell ref="A99:G99"/>
    <mergeCell ref="A101:G101"/>
    <mergeCell ref="A103:G103"/>
    <mergeCell ref="A105:G105"/>
    <mergeCell ref="A107:G107"/>
    <mergeCell ref="A109:G109"/>
    <mergeCell ref="A111:G111"/>
    <mergeCell ref="A87:G87"/>
    <mergeCell ref="F7:G7"/>
    <mergeCell ref="B45:B46"/>
    <mergeCell ref="D45:D46"/>
    <mergeCell ref="A83:G83"/>
    <mergeCell ref="A85:G85"/>
  </mergeCells>
  <conditionalFormatting sqref="D25">
    <cfRule type="cellIs" dxfId="0" priority="1" operator="greaterThan">
      <formula>$B$25</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&amp;C2021/22 Special School Budget Share Calculation
Funding Summary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C34" sqref="C34"/>
    </sheetView>
  </sheetViews>
  <sheetFormatPr defaultRowHeight="1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K29"/>
  <sheetViews>
    <sheetView workbookViewId="0">
      <selection activeCell="Q26" sqref="Q26"/>
    </sheetView>
  </sheetViews>
  <sheetFormatPr defaultColWidth="9" defaultRowHeight="14"/>
  <cols>
    <col min="1" max="1" width="7.58203125" style="1" customWidth="1"/>
    <col min="2" max="2" width="0.83203125" style="1" customWidth="1"/>
    <col min="3" max="3" width="10" style="1" customWidth="1"/>
    <col min="4" max="4" width="4.5" style="1" bestFit="1" customWidth="1"/>
    <col min="5" max="5" width="0.83203125" style="1" customWidth="1"/>
    <col min="6" max="6" width="8.25" style="1" customWidth="1"/>
    <col min="7" max="7" width="9.33203125" style="1" customWidth="1"/>
    <col min="8" max="8" width="7.33203125" style="1" customWidth="1"/>
    <col min="9" max="9" width="8.25" style="1" customWidth="1"/>
    <col min="10" max="10" width="9.33203125" style="1" customWidth="1"/>
    <col min="11" max="11" width="10.75" style="1" customWidth="1"/>
    <col min="12" max="16384" width="9" style="1"/>
  </cols>
  <sheetData>
    <row r="2" spans="1:11">
      <c r="A2" s="1113" t="s">
        <v>78</v>
      </c>
      <c r="B2" s="1113"/>
      <c r="C2" s="1113"/>
      <c r="D2" s="1113"/>
      <c r="E2" s="1113"/>
      <c r="F2" s="1113"/>
      <c r="G2" s="1113"/>
      <c r="H2" s="1113"/>
      <c r="I2" s="1113"/>
      <c r="J2" s="1113"/>
      <c r="K2" s="1113"/>
    </row>
    <row r="4" spans="1:11" s="53" customFormat="1" ht="30" customHeight="1">
      <c r="A4" s="51" t="s">
        <v>64</v>
      </c>
      <c r="B4" s="51"/>
      <c r="C4" s="52" t="s">
        <v>65</v>
      </c>
      <c r="D4" s="51" t="s">
        <v>66</v>
      </c>
      <c r="E4" s="51"/>
      <c r="F4" s="52" t="s">
        <v>67</v>
      </c>
      <c r="G4" s="52" t="s">
        <v>68</v>
      </c>
      <c r="H4" s="52" t="s">
        <v>69</v>
      </c>
      <c r="I4" s="52" t="s">
        <v>67</v>
      </c>
      <c r="J4" s="52" t="s">
        <v>68</v>
      </c>
      <c r="K4" s="52" t="s">
        <v>70</v>
      </c>
    </row>
    <row r="5" spans="1:11">
      <c r="A5" s="22" t="s">
        <v>71</v>
      </c>
      <c r="B5" s="23"/>
      <c r="C5" s="24">
        <f t="shared" ref="C5:K5" si="0">C47</f>
        <v>0</v>
      </c>
      <c r="D5" s="25">
        <f t="shared" si="0"/>
        <v>0</v>
      </c>
      <c r="E5" s="23"/>
      <c r="F5" s="24">
        <f t="shared" si="0"/>
        <v>0</v>
      </c>
      <c r="G5" s="24">
        <f t="shared" si="0"/>
        <v>0</v>
      </c>
      <c r="H5" s="24">
        <f t="shared" si="0"/>
        <v>0</v>
      </c>
      <c r="I5" s="24">
        <f t="shared" ref="I5:J5" si="1">I47</f>
        <v>0</v>
      </c>
      <c r="J5" s="24">
        <f t="shared" si="1"/>
        <v>0</v>
      </c>
      <c r="K5" s="24">
        <f t="shared" si="0"/>
        <v>0</v>
      </c>
    </row>
    <row r="6" spans="1:11">
      <c r="A6" s="22" t="s">
        <v>72</v>
      </c>
      <c r="B6" s="23"/>
      <c r="C6" s="24">
        <f t="shared" ref="C6:K6" si="2">C71</f>
        <v>0</v>
      </c>
      <c r="D6" s="25">
        <f t="shared" si="2"/>
        <v>0</v>
      </c>
      <c r="E6" s="23"/>
      <c r="F6" s="24">
        <f t="shared" si="2"/>
        <v>0</v>
      </c>
      <c r="G6" s="24">
        <f t="shared" si="2"/>
        <v>0</v>
      </c>
      <c r="H6" s="24">
        <f t="shared" si="2"/>
        <v>0</v>
      </c>
      <c r="I6" s="24">
        <f t="shared" ref="I6:J6" si="3">I71</f>
        <v>0</v>
      </c>
      <c r="J6" s="24">
        <f t="shared" si="3"/>
        <v>0</v>
      </c>
      <c r="K6" s="24">
        <f t="shared" si="2"/>
        <v>0</v>
      </c>
    </row>
    <row r="7" spans="1:11">
      <c r="A7" s="22" t="s">
        <v>73</v>
      </c>
      <c r="B7" s="23"/>
      <c r="C7" s="24">
        <f t="shared" ref="C7:K7" si="4">C92</f>
        <v>0</v>
      </c>
      <c r="D7" s="25">
        <f t="shared" si="4"/>
        <v>0</v>
      </c>
      <c r="E7" s="23"/>
      <c r="F7" s="24">
        <f t="shared" si="4"/>
        <v>0</v>
      </c>
      <c r="G7" s="24">
        <f t="shared" si="4"/>
        <v>0</v>
      </c>
      <c r="H7" s="24">
        <f t="shared" si="4"/>
        <v>0</v>
      </c>
      <c r="I7" s="24">
        <f t="shared" ref="I7:J7" si="5">I92</f>
        <v>0</v>
      </c>
      <c r="J7" s="24">
        <f t="shared" si="5"/>
        <v>0</v>
      </c>
      <c r="K7" s="24">
        <f t="shared" si="4"/>
        <v>0</v>
      </c>
    </row>
    <row r="8" spans="1:11">
      <c r="A8" s="22" t="s">
        <v>74</v>
      </c>
      <c r="B8" s="26"/>
      <c r="C8" s="24"/>
      <c r="D8" s="25">
        <v>4</v>
      </c>
      <c r="E8" s="26"/>
      <c r="F8" s="24"/>
      <c r="G8" s="24">
        <v>0</v>
      </c>
      <c r="H8" s="24"/>
      <c r="I8" s="24"/>
      <c r="J8" s="24">
        <v>0</v>
      </c>
      <c r="K8" s="24"/>
    </row>
    <row r="9" spans="1:11">
      <c r="A9" s="22" t="s">
        <v>75</v>
      </c>
      <c r="B9" s="26"/>
      <c r="C9" s="24"/>
      <c r="D9" s="25">
        <v>2</v>
      </c>
      <c r="E9" s="26"/>
      <c r="F9" s="24"/>
      <c r="G9" s="24">
        <v>0</v>
      </c>
      <c r="H9" s="24"/>
      <c r="I9" s="24"/>
      <c r="J9" s="24">
        <v>0</v>
      </c>
      <c r="K9" s="24"/>
    </row>
    <row r="10" spans="1:11">
      <c r="A10" s="22" t="s">
        <v>76</v>
      </c>
      <c r="B10" s="26"/>
      <c r="C10" s="24"/>
      <c r="D10" s="25">
        <v>0</v>
      </c>
      <c r="E10" s="26"/>
      <c r="F10" s="24"/>
      <c r="G10" s="24">
        <v>0</v>
      </c>
      <c r="H10" s="24"/>
      <c r="I10" s="24"/>
      <c r="J10" s="24">
        <v>0</v>
      </c>
      <c r="K10" s="24"/>
    </row>
    <row r="11" spans="1:11">
      <c r="A11" s="22" t="s">
        <v>71</v>
      </c>
      <c r="B11" s="23"/>
      <c r="C11" s="24">
        <f t="shared" ref="C11:D11" si="6">C53</f>
        <v>0</v>
      </c>
      <c r="D11" s="25">
        <f t="shared" si="6"/>
        <v>0</v>
      </c>
      <c r="E11" s="23"/>
      <c r="F11" s="24">
        <f t="shared" ref="F11:K11" si="7">F53</f>
        <v>0</v>
      </c>
      <c r="G11" s="24">
        <f t="shared" si="7"/>
        <v>0</v>
      </c>
      <c r="H11" s="24">
        <f t="shared" si="7"/>
        <v>0</v>
      </c>
      <c r="I11" s="24">
        <f t="shared" si="7"/>
        <v>0</v>
      </c>
      <c r="J11" s="24">
        <f t="shared" si="7"/>
        <v>0</v>
      </c>
      <c r="K11" s="24">
        <f t="shared" si="7"/>
        <v>0</v>
      </c>
    </row>
    <row r="12" spans="1:11">
      <c r="A12" s="22" t="s">
        <v>72</v>
      </c>
      <c r="B12" s="23"/>
      <c r="C12" s="24">
        <f t="shared" ref="C12:D12" si="8">C77</f>
        <v>0</v>
      </c>
      <c r="D12" s="25">
        <f t="shared" si="8"/>
        <v>0</v>
      </c>
      <c r="E12" s="23"/>
      <c r="F12" s="24">
        <f t="shared" ref="F12:K12" si="9">F77</f>
        <v>0</v>
      </c>
      <c r="G12" s="24">
        <f t="shared" si="9"/>
        <v>0</v>
      </c>
      <c r="H12" s="24">
        <f t="shared" si="9"/>
        <v>0</v>
      </c>
      <c r="I12" s="24">
        <f t="shared" si="9"/>
        <v>0</v>
      </c>
      <c r="J12" s="24">
        <f t="shared" si="9"/>
        <v>0</v>
      </c>
      <c r="K12" s="24">
        <f t="shared" si="9"/>
        <v>0</v>
      </c>
    </row>
    <row r="13" spans="1:11">
      <c r="A13" s="22" t="s">
        <v>73</v>
      </c>
      <c r="B13" s="23"/>
      <c r="C13" s="24">
        <f t="shared" ref="C13:D13" si="10">C98</f>
        <v>0</v>
      </c>
      <c r="D13" s="25">
        <f t="shared" si="10"/>
        <v>0</v>
      </c>
      <c r="E13" s="23"/>
      <c r="F13" s="24">
        <f t="shared" ref="F13:K13" si="11">F98</f>
        <v>0</v>
      </c>
      <c r="G13" s="24">
        <f t="shared" si="11"/>
        <v>0</v>
      </c>
      <c r="H13" s="24">
        <f t="shared" si="11"/>
        <v>0</v>
      </c>
      <c r="I13" s="24">
        <f t="shared" si="11"/>
        <v>0</v>
      </c>
      <c r="J13" s="24">
        <f t="shared" si="11"/>
        <v>0</v>
      </c>
      <c r="K13" s="24">
        <f t="shared" si="11"/>
        <v>0</v>
      </c>
    </row>
    <row r="14" spans="1:11">
      <c r="A14" s="22" t="s">
        <v>74</v>
      </c>
      <c r="B14" s="26"/>
      <c r="C14" s="24"/>
      <c r="D14" s="25">
        <v>4</v>
      </c>
      <c r="E14" s="26"/>
      <c r="F14" s="24"/>
      <c r="G14" s="24">
        <v>0</v>
      </c>
      <c r="H14" s="24"/>
      <c r="I14" s="24"/>
      <c r="J14" s="24">
        <v>0</v>
      </c>
      <c r="K14" s="24"/>
    </row>
    <row r="15" spans="1:11">
      <c r="A15" s="22" t="s">
        <v>75</v>
      </c>
      <c r="B15" s="26"/>
      <c r="C15" s="24"/>
      <c r="D15" s="25">
        <v>2</v>
      </c>
      <c r="E15" s="26"/>
      <c r="F15" s="24"/>
      <c r="G15" s="24">
        <v>0</v>
      </c>
      <c r="H15" s="24"/>
      <c r="I15" s="24"/>
      <c r="J15" s="24">
        <v>0</v>
      </c>
      <c r="K15" s="24"/>
    </row>
    <row r="16" spans="1:11">
      <c r="A16" s="22" t="s">
        <v>76</v>
      </c>
      <c r="B16" s="26"/>
      <c r="C16" s="24"/>
      <c r="D16" s="25">
        <v>0</v>
      </c>
      <c r="E16" s="26"/>
      <c r="F16" s="24"/>
      <c r="G16" s="24">
        <v>0</v>
      </c>
      <c r="H16" s="24"/>
      <c r="I16" s="24"/>
      <c r="J16" s="24">
        <v>0</v>
      </c>
      <c r="K16" s="24"/>
    </row>
    <row r="17" spans="1:11">
      <c r="A17" s="22" t="s">
        <v>71</v>
      </c>
      <c r="B17" s="23"/>
      <c r="C17" s="24">
        <f t="shared" ref="C17:D17" si="12">C59</f>
        <v>0</v>
      </c>
      <c r="D17" s="25">
        <f t="shared" si="12"/>
        <v>0</v>
      </c>
      <c r="E17" s="23"/>
      <c r="F17" s="24">
        <f t="shared" ref="F17:K17" si="13">F59</f>
        <v>0</v>
      </c>
      <c r="G17" s="24">
        <f t="shared" si="13"/>
        <v>0</v>
      </c>
      <c r="H17" s="24">
        <f t="shared" si="13"/>
        <v>0</v>
      </c>
      <c r="I17" s="24">
        <f t="shared" si="13"/>
        <v>0</v>
      </c>
      <c r="J17" s="24">
        <f t="shared" si="13"/>
        <v>0</v>
      </c>
      <c r="K17" s="24">
        <f t="shared" si="13"/>
        <v>0</v>
      </c>
    </row>
    <row r="18" spans="1:11">
      <c r="A18" s="22" t="s">
        <v>72</v>
      </c>
      <c r="B18" s="23"/>
      <c r="C18" s="24">
        <f t="shared" ref="C18:D18" si="14">C83</f>
        <v>0</v>
      </c>
      <c r="D18" s="25">
        <f t="shared" si="14"/>
        <v>0</v>
      </c>
      <c r="E18" s="23"/>
      <c r="F18" s="24">
        <f t="shared" ref="F18:K18" si="15">F83</f>
        <v>0</v>
      </c>
      <c r="G18" s="24">
        <f t="shared" si="15"/>
        <v>0</v>
      </c>
      <c r="H18" s="24">
        <f t="shared" si="15"/>
        <v>0</v>
      </c>
      <c r="I18" s="24">
        <f t="shared" si="15"/>
        <v>0</v>
      </c>
      <c r="J18" s="24">
        <f t="shared" si="15"/>
        <v>0</v>
      </c>
      <c r="K18" s="24">
        <f t="shared" si="15"/>
        <v>0</v>
      </c>
    </row>
    <row r="19" spans="1:11">
      <c r="A19" s="22" t="s">
        <v>73</v>
      </c>
      <c r="B19" s="23"/>
      <c r="C19" s="24">
        <f t="shared" ref="C19:D19" si="16">C104</f>
        <v>0</v>
      </c>
      <c r="D19" s="25">
        <f t="shared" si="16"/>
        <v>0</v>
      </c>
      <c r="E19" s="23"/>
      <c r="F19" s="24">
        <f t="shared" ref="F19:K19" si="17">F104</f>
        <v>0</v>
      </c>
      <c r="G19" s="24">
        <f t="shared" si="17"/>
        <v>0</v>
      </c>
      <c r="H19" s="24">
        <f t="shared" si="17"/>
        <v>0</v>
      </c>
      <c r="I19" s="24">
        <f t="shared" si="17"/>
        <v>0</v>
      </c>
      <c r="J19" s="24">
        <f t="shared" si="17"/>
        <v>0</v>
      </c>
      <c r="K19" s="24">
        <f t="shared" si="17"/>
        <v>0</v>
      </c>
    </row>
    <row r="20" spans="1:11">
      <c r="A20" s="22" t="s">
        <v>74</v>
      </c>
      <c r="B20" s="26"/>
      <c r="C20" s="24"/>
      <c r="D20" s="25">
        <v>4</v>
      </c>
      <c r="E20" s="26"/>
      <c r="F20" s="24"/>
      <c r="G20" s="24">
        <v>0</v>
      </c>
      <c r="H20" s="24"/>
      <c r="I20" s="24"/>
      <c r="J20" s="24">
        <v>0</v>
      </c>
      <c r="K20" s="24"/>
    </row>
    <row r="21" spans="1:11">
      <c r="A21" s="22" t="s">
        <v>75</v>
      </c>
      <c r="B21" s="26"/>
      <c r="C21" s="24"/>
      <c r="D21" s="25">
        <v>2</v>
      </c>
      <c r="E21" s="26"/>
      <c r="F21" s="24"/>
      <c r="G21" s="24">
        <v>0</v>
      </c>
      <c r="H21" s="24"/>
      <c r="I21" s="24"/>
      <c r="J21" s="24">
        <v>0</v>
      </c>
      <c r="K21" s="24"/>
    </row>
    <row r="22" spans="1:11">
      <c r="A22" s="22" t="s">
        <v>76</v>
      </c>
      <c r="B22" s="26"/>
      <c r="C22" s="24"/>
      <c r="D22" s="25">
        <v>0</v>
      </c>
      <c r="E22" s="26"/>
      <c r="F22" s="24"/>
      <c r="G22" s="24">
        <v>0</v>
      </c>
      <c r="H22" s="24"/>
      <c r="I22" s="24"/>
      <c r="J22" s="24">
        <v>0</v>
      </c>
      <c r="K22" s="24"/>
    </row>
    <row r="23" spans="1:11">
      <c r="A23" s="22" t="s">
        <v>71</v>
      </c>
      <c r="B23" s="23"/>
      <c r="C23" s="24">
        <f t="shared" ref="C23:D23" si="18">C65</f>
        <v>0</v>
      </c>
      <c r="D23" s="25">
        <f t="shared" si="18"/>
        <v>0</v>
      </c>
      <c r="E23" s="23"/>
      <c r="F23" s="24">
        <f t="shared" ref="F23:K23" si="19">F65</f>
        <v>0</v>
      </c>
      <c r="G23" s="24">
        <f t="shared" si="19"/>
        <v>0</v>
      </c>
      <c r="H23" s="24">
        <f t="shared" si="19"/>
        <v>0</v>
      </c>
      <c r="I23" s="24">
        <f t="shared" si="19"/>
        <v>0</v>
      </c>
      <c r="J23" s="24">
        <f t="shared" si="19"/>
        <v>0</v>
      </c>
      <c r="K23" s="24">
        <f t="shared" si="19"/>
        <v>0</v>
      </c>
    </row>
    <row r="24" spans="1:11">
      <c r="A24" s="22" t="s">
        <v>72</v>
      </c>
      <c r="B24" s="23"/>
      <c r="C24" s="24">
        <f t="shared" ref="C24:D24" si="20">C89</f>
        <v>0</v>
      </c>
      <c r="D24" s="25">
        <f t="shared" si="20"/>
        <v>0</v>
      </c>
      <c r="E24" s="23"/>
      <c r="F24" s="24">
        <f t="shared" ref="F24:K24" si="21">F89</f>
        <v>0</v>
      </c>
      <c r="G24" s="24">
        <f t="shared" si="21"/>
        <v>0</v>
      </c>
      <c r="H24" s="24">
        <f t="shared" si="21"/>
        <v>0</v>
      </c>
      <c r="I24" s="24">
        <f t="shared" si="21"/>
        <v>0</v>
      </c>
      <c r="J24" s="24">
        <f t="shared" si="21"/>
        <v>0</v>
      </c>
      <c r="K24" s="24">
        <f t="shared" si="21"/>
        <v>0</v>
      </c>
    </row>
    <row r="25" spans="1:11">
      <c r="A25" s="22" t="s">
        <v>73</v>
      </c>
      <c r="B25" s="23"/>
      <c r="C25" s="24">
        <f t="shared" ref="C25:D25" si="22">C110</f>
        <v>0</v>
      </c>
      <c r="D25" s="25">
        <f t="shared" si="22"/>
        <v>0</v>
      </c>
      <c r="E25" s="23"/>
      <c r="F25" s="24">
        <f t="shared" ref="F25:K25" si="23">F110</f>
        <v>0</v>
      </c>
      <c r="G25" s="24">
        <f t="shared" si="23"/>
        <v>0</v>
      </c>
      <c r="H25" s="24">
        <f t="shared" si="23"/>
        <v>0</v>
      </c>
      <c r="I25" s="24">
        <f t="shared" si="23"/>
        <v>0</v>
      </c>
      <c r="J25" s="24">
        <f t="shared" si="23"/>
        <v>0</v>
      </c>
      <c r="K25" s="24">
        <f t="shared" si="23"/>
        <v>0</v>
      </c>
    </row>
    <row r="26" spans="1:11">
      <c r="A26" s="22" t="s">
        <v>74</v>
      </c>
      <c r="B26" s="26"/>
      <c r="C26" s="24"/>
      <c r="D26" s="25">
        <v>4</v>
      </c>
      <c r="E26" s="26"/>
      <c r="F26" s="24"/>
      <c r="G26" s="24">
        <v>0</v>
      </c>
      <c r="H26" s="24"/>
      <c r="I26" s="24"/>
      <c r="J26" s="24">
        <v>0</v>
      </c>
      <c r="K26" s="24"/>
    </row>
    <row r="27" spans="1:11">
      <c r="A27" s="22" t="s">
        <v>75</v>
      </c>
      <c r="B27" s="26"/>
      <c r="C27" s="24"/>
      <c r="D27" s="25">
        <v>2</v>
      </c>
      <c r="E27" s="26"/>
      <c r="F27" s="24"/>
      <c r="G27" s="24">
        <v>0</v>
      </c>
      <c r="H27" s="24"/>
      <c r="I27" s="24"/>
      <c r="J27" s="24">
        <v>0</v>
      </c>
      <c r="K27" s="24"/>
    </row>
    <row r="28" spans="1:11">
      <c r="A28" s="22" t="s">
        <v>76</v>
      </c>
      <c r="B28" s="26"/>
      <c r="C28" s="24"/>
      <c r="D28" s="25">
        <v>0</v>
      </c>
      <c r="E28" s="26"/>
      <c r="F28" s="24"/>
      <c r="G28" s="24">
        <v>0</v>
      </c>
      <c r="H28" s="24"/>
      <c r="I28" s="24"/>
      <c r="J28" s="24">
        <v>0</v>
      </c>
      <c r="K28" s="24"/>
    </row>
    <row r="29" spans="1:11">
      <c r="A29" s="27" t="s">
        <v>77</v>
      </c>
      <c r="B29" s="26"/>
      <c r="C29" s="28">
        <f>SUM(C5:C10)</f>
        <v>0</v>
      </c>
      <c r="D29" s="26">
        <f t="shared" ref="D29:K29" si="24">SUM(D5:D10)</f>
        <v>6</v>
      </c>
      <c r="E29" s="28"/>
      <c r="F29" s="28">
        <f t="shared" si="24"/>
        <v>0</v>
      </c>
      <c r="G29" s="28">
        <f t="shared" si="24"/>
        <v>0</v>
      </c>
      <c r="H29" s="28">
        <f t="shared" si="24"/>
        <v>0</v>
      </c>
      <c r="I29" s="28">
        <f t="shared" ref="I29:J29" si="25">SUM(I5:I10)</f>
        <v>0</v>
      </c>
      <c r="J29" s="28">
        <f t="shared" si="25"/>
        <v>0</v>
      </c>
      <c r="K29" s="28">
        <f t="shared" si="24"/>
        <v>0</v>
      </c>
    </row>
  </sheetData>
  <mergeCells count="1">
    <mergeCell ref="A2:K2"/>
  </mergeCells>
  <conditionalFormatting sqref="D5:D28">
    <cfRule type="expression" dxfId="9" priority="1">
      <formula>$D5&lt;&gt;0</formula>
    </cfRule>
  </conditionalFormatting>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B2:W9"/>
  <sheetViews>
    <sheetView workbookViewId="0">
      <selection activeCell="O21" sqref="O21"/>
    </sheetView>
  </sheetViews>
  <sheetFormatPr defaultColWidth="9" defaultRowHeight="14"/>
  <cols>
    <col min="1" max="1" width="2.25" style="2" customWidth="1"/>
    <col min="2" max="3" width="9.83203125" style="2" bestFit="1" customWidth="1"/>
    <col min="4" max="4" width="11.25" style="2" hidden="1" customWidth="1"/>
    <col min="5" max="5" width="9.33203125" style="5" hidden="1" customWidth="1"/>
    <col min="6" max="6" width="10.58203125" style="2" hidden="1" customWidth="1"/>
    <col min="7" max="7" width="12.08203125" style="5" hidden="1" customWidth="1"/>
    <col min="8" max="8" width="13.75" style="5" hidden="1" customWidth="1"/>
    <col min="9" max="9" width="11.58203125" style="2" bestFit="1" customWidth="1"/>
    <col min="10" max="10" width="16.75" style="2" bestFit="1" customWidth="1"/>
    <col min="11" max="11" width="0.83203125" style="2" customWidth="1"/>
    <col min="12" max="12" width="8.83203125" style="2" bestFit="1" customWidth="1"/>
    <col min="13" max="13" width="12.33203125" style="5" bestFit="1" customWidth="1"/>
    <col min="14" max="14" width="9.83203125" style="5" customWidth="1"/>
    <col min="15" max="15" width="9.5" style="2" bestFit="1" customWidth="1"/>
    <col min="16" max="16" width="12" style="2" bestFit="1" customWidth="1"/>
    <col min="17" max="17" width="9.08203125" style="2" bestFit="1" customWidth="1"/>
    <col min="18" max="18" width="13.08203125" style="2" bestFit="1" customWidth="1"/>
    <col min="19" max="19" width="0.83203125" style="2" customWidth="1"/>
    <col min="20" max="20" width="14.5" style="2" bestFit="1" customWidth="1"/>
    <col min="21" max="21" width="15.83203125" style="2" bestFit="1" customWidth="1"/>
    <col min="22" max="22" width="10.75" style="2" bestFit="1" customWidth="1"/>
    <col min="23" max="23" width="4.5" style="2" bestFit="1" customWidth="1"/>
    <col min="24" max="24" width="9.75" style="2" customWidth="1"/>
    <col min="25" max="25" width="9" style="2" customWidth="1"/>
    <col min="26" max="26" width="10" style="2" customWidth="1"/>
    <col min="27" max="27" width="14.25" style="2" customWidth="1"/>
    <col min="28" max="16384" width="9" style="2"/>
  </cols>
  <sheetData>
    <row r="2" spans="2:23">
      <c r="B2" s="1113" t="s">
        <v>79</v>
      </c>
      <c r="C2" s="1113"/>
      <c r="D2" s="1113"/>
      <c r="E2" s="1113"/>
      <c r="F2" s="1113"/>
      <c r="G2" s="1113"/>
      <c r="H2" s="1113"/>
      <c r="I2" s="1113"/>
      <c r="J2" s="1113"/>
      <c r="K2" s="1113"/>
      <c r="L2" s="1113"/>
      <c r="M2" s="1113"/>
      <c r="N2" s="1113"/>
      <c r="O2" s="1113"/>
      <c r="P2" s="1113"/>
      <c r="Q2" s="1113"/>
      <c r="R2" s="1113"/>
      <c r="S2" s="1113"/>
      <c r="T2" s="1113"/>
      <c r="U2" s="1113"/>
      <c r="V2" s="1113"/>
      <c r="W2" s="1113"/>
    </row>
    <row r="4" spans="2:23" ht="28">
      <c r="B4" s="18" t="s">
        <v>80</v>
      </c>
      <c r="C4" s="18" t="s">
        <v>81</v>
      </c>
      <c r="D4" s="18" t="s">
        <v>82</v>
      </c>
      <c r="E4" s="19" t="s">
        <v>83</v>
      </c>
      <c r="F4" s="18" t="s">
        <v>84</v>
      </c>
      <c r="G4" s="19" t="s">
        <v>85</v>
      </c>
      <c r="H4" s="19" t="s">
        <v>86</v>
      </c>
      <c r="I4" s="18" t="s">
        <v>87</v>
      </c>
      <c r="J4" s="19" t="s">
        <v>88</v>
      </c>
      <c r="K4" s="19"/>
      <c r="L4" s="18" t="s">
        <v>89</v>
      </c>
      <c r="M4" s="19" t="s">
        <v>90</v>
      </c>
      <c r="N4" s="19" t="s">
        <v>91</v>
      </c>
      <c r="O4" s="18" t="s">
        <v>92</v>
      </c>
      <c r="P4" s="18" t="s">
        <v>93</v>
      </c>
      <c r="Q4" s="18" t="s">
        <v>94</v>
      </c>
      <c r="R4" s="18" t="s">
        <v>95</v>
      </c>
      <c r="S4" s="18"/>
      <c r="T4" s="18" t="s">
        <v>96</v>
      </c>
      <c r="U4" s="18" t="s">
        <v>97</v>
      </c>
      <c r="V4" s="19" t="s">
        <v>98</v>
      </c>
      <c r="W4" s="18" t="s">
        <v>66</v>
      </c>
    </row>
    <row r="5" spans="2:23" s="6" customFormat="1" ht="42">
      <c r="B5" s="29">
        <v>41365</v>
      </c>
      <c r="C5" s="29">
        <v>73050</v>
      </c>
      <c r="D5" s="6" t="s">
        <v>99</v>
      </c>
      <c r="E5" s="30" t="s">
        <v>100</v>
      </c>
      <c r="F5" s="30" t="s">
        <v>101</v>
      </c>
      <c r="G5" s="30" t="s">
        <v>102</v>
      </c>
      <c r="H5" s="30" t="s">
        <v>103</v>
      </c>
      <c r="I5" s="6" t="s">
        <v>104</v>
      </c>
      <c r="J5" s="6" t="s">
        <v>105</v>
      </c>
      <c r="K5" s="36"/>
      <c r="L5" s="6">
        <v>20000000</v>
      </c>
      <c r="M5" s="30" t="s">
        <v>106</v>
      </c>
      <c r="N5" s="30" t="s">
        <v>107</v>
      </c>
      <c r="O5" s="6">
        <v>10000000</v>
      </c>
      <c r="P5" s="30" t="s">
        <v>108</v>
      </c>
      <c r="Q5" s="6" t="s">
        <v>109</v>
      </c>
      <c r="R5" s="6" t="s">
        <v>110</v>
      </c>
      <c r="S5" s="36"/>
      <c r="T5" s="6">
        <v>41153</v>
      </c>
      <c r="U5" s="6" t="s">
        <v>111</v>
      </c>
      <c r="V5" s="6">
        <v>37</v>
      </c>
      <c r="W5" s="6">
        <v>1</v>
      </c>
    </row>
    <row r="6" spans="2:23" s="6" customFormat="1" ht="42">
      <c r="B6" s="29">
        <v>42461</v>
      </c>
      <c r="C6" s="29">
        <v>73050</v>
      </c>
      <c r="D6" s="6" t="s">
        <v>99</v>
      </c>
      <c r="E6" s="30" t="s">
        <v>100</v>
      </c>
      <c r="F6" s="30" t="s">
        <v>101</v>
      </c>
      <c r="G6" s="30" t="s">
        <v>102</v>
      </c>
      <c r="H6" s="30" t="s">
        <v>103</v>
      </c>
      <c r="I6" s="6" t="s">
        <v>104</v>
      </c>
      <c r="J6" s="6" t="s">
        <v>105</v>
      </c>
      <c r="K6" s="36"/>
      <c r="L6" s="6">
        <v>20000001</v>
      </c>
      <c r="M6" s="30" t="s">
        <v>112</v>
      </c>
      <c r="N6" s="30" t="s">
        <v>107</v>
      </c>
      <c r="O6" s="6">
        <v>10000000</v>
      </c>
      <c r="P6" s="30" t="s">
        <v>108</v>
      </c>
      <c r="Q6" s="6" t="s">
        <v>113</v>
      </c>
      <c r="R6" s="6" t="s">
        <v>114</v>
      </c>
      <c r="S6" s="36"/>
      <c r="U6" s="6" t="s">
        <v>111</v>
      </c>
      <c r="V6" s="6">
        <v>37</v>
      </c>
      <c r="W6" s="6">
        <v>0</v>
      </c>
    </row>
    <row r="7" spans="2:23" s="6" customFormat="1" ht="42">
      <c r="B7" s="29">
        <v>43004</v>
      </c>
      <c r="C7" s="29">
        <v>73050</v>
      </c>
      <c r="D7" s="6" t="s">
        <v>99</v>
      </c>
      <c r="E7" s="30" t="s">
        <v>100</v>
      </c>
      <c r="F7" s="30" t="s">
        <v>101</v>
      </c>
      <c r="G7" s="30" t="s">
        <v>102</v>
      </c>
      <c r="H7" s="30" t="s">
        <v>103</v>
      </c>
      <c r="I7" s="6" t="s">
        <v>104</v>
      </c>
      <c r="J7" s="6" t="s">
        <v>105</v>
      </c>
      <c r="K7" s="36"/>
      <c r="L7" s="6">
        <v>20000002</v>
      </c>
      <c r="M7" s="30" t="s">
        <v>115</v>
      </c>
      <c r="N7" s="30" t="s">
        <v>107</v>
      </c>
      <c r="O7" s="6">
        <v>10000000</v>
      </c>
      <c r="P7" s="30" t="s">
        <v>108</v>
      </c>
      <c r="Q7" s="6" t="s">
        <v>116</v>
      </c>
      <c r="R7" s="6" t="s">
        <v>117</v>
      </c>
      <c r="S7" s="36"/>
      <c r="T7" s="6">
        <v>42095</v>
      </c>
      <c r="U7" s="6" t="s">
        <v>111</v>
      </c>
      <c r="V7" s="6">
        <v>37</v>
      </c>
      <c r="W7" s="6">
        <v>1</v>
      </c>
    </row>
    <row r="8" spans="2:23" s="6" customFormat="1" ht="42">
      <c r="B8" s="29">
        <v>41505</v>
      </c>
      <c r="C8" s="29">
        <v>73050</v>
      </c>
      <c r="D8" s="6" t="s">
        <v>99</v>
      </c>
      <c r="E8" s="30" t="s">
        <v>100</v>
      </c>
      <c r="F8" s="30" t="s">
        <v>101</v>
      </c>
      <c r="G8" s="30" t="s">
        <v>102</v>
      </c>
      <c r="H8" s="30" t="s">
        <v>103</v>
      </c>
      <c r="I8" s="6" t="s">
        <v>104</v>
      </c>
      <c r="J8" s="6" t="s">
        <v>105</v>
      </c>
      <c r="K8" s="36"/>
      <c r="L8" s="6">
        <v>20000003</v>
      </c>
      <c r="M8" s="30" t="s">
        <v>118</v>
      </c>
      <c r="N8" s="30" t="s">
        <v>107</v>
      </c>
      <c r="O8" s="6">
        <v>10000000</v>
      </c>
      <c r="P8" s="30" t="s">
        <v>108</v>
      </c>
      <c r="Q8" s="6" t="s">
        <v>119</v>
      </c>
      <c r="R8" s="6" t="s">
        <v>120</v>
      </c>
      <c r="S8" s="36"/>
      <c r="T8" s="6">
        <v>41153</v>
      </c>
      <c r="U8" s="6" t="s">
        <v>111</v>
      </c>
      <c r="V8" s="6">
        <v>37</v>
      </c>
      <c r="W8" s="6">
        <v>0</v>
      </c>
    </row>
    <row r="9" spans="2:23">
      <c r="B9" s="31"/>
      <c r="C9" s="31"/>
      <c r="D9" s="31"/>
      <c r="E9" s="32"/>
      <c r="F9" s="31"/>
      <c r="G9" s="32"/>
      <c r="H9" s="32"/>
      <c r="I9" s="31"/>
      <c r="J9" s="27" t="s">
        <v>121</v>
      </c>
      <c r="K9" s="27"/>
      <c r="L9" s="31"/>
      <c r="M9" s="32"/>
      <c r="N9" s="32"/>
      <c r="O9" s="31"/>
      <c r="P9" s="31"/>
      <c r="Q9" s="31"/>
      <c r="R9" s="31"/>
      <c r="S9" s="31"/>
      <c r="T9" s="31"/>
      <c r="U9" s="31"/>
      <c r="V9" s="31"/>
      <c r="W9" s="33">
        <v>2</v>
      </c>
    </row>
  </sheetData>
  <mergeCells count="1">
    <mergeCell ref="B2:W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
  <sheetViews>
    <sheetView showGridLines="0" showRowColHeaders="0" workbookViewId="0">
      <selection activeCell="H20" sqref="H20"/>
    </sheetView>
  </sheetViews>
  <sheetFormatPr defaultColWidth="9" defaultRowHeight="14"/>
  <cols>
    <col min="1" max="16384" width="9" style="1"/>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4B7D-2D49-4E0D-82C9-9B6411070540}">
  <sheetPr>
    <tabColor theme="0" tint="-0.34998626667073579"/>
    <pageSetUpPr fitToPage="1"/>
  </sheetPr>
  <dimension ref="A2:L88"/>
  <sheetViews>
    <sheetView tabSelected="1" zoomScaleNormal="100" workbookViewId="0">
      <selection activeCell="A2" sqref="A2"/>
    </sheetView>
  </sheetViews>
  <sheetFormatPr defaultColWidth="9" defaultRowHeight="14"/>
  <cols>
    <col min="1" max="1" width="58.33203125" customWidth="1"/>
    <col min="2" max="2" width="40.58203125" customWidth="1"/>
    <col min="3" max="3" width="5.83203125" customWidth="1"/>
    <col min="4" max="4" width="46.83203125" style="79" customWidth="1"/>
    <col min="5" max="5" width="10.83203125" bestFit="1" customWidth="1"/>
    <col min="6" max="6" width="9.83203125" bestFit="1" customWidth="1"/>
    <col min="8" max="8" width="10.5" bestFit="1" customWidth="1"/>
  </cols>
  <sheetData>
    <row r="2" spans="1:12">
      <c r="A2" s="76" t="s">
        <v>122</v>
      </c>
    </row>
    <row r="3" spans="1:12">
      <c r="B3" s="68" t="s">
        <v>123</v>
      </c>
      <c r="C3" s="68"/>
    </row>
    <row r="4" spans="1:12">
      <c r="A4" s="104" t="s">
        <v>124</v>
      </c>
      <c r="B4" s="105" t="s">
        <v>125</v>
      </c>
      <c r="F4" s="122"/>
      <c r="G4" s="123"/>
    </row>
    <row r="5" spans="1:12">
      <c r="A5" t="s">
        <v>126</v>
      </c>
      <c r="B5" s="68">
        <v>63</v>
      </c>
      <c r="F5" s="122"/>
      <c r="G5" s="123"/>
    </row>
    <row r="6" spans="1:12" s="118" customFormat="1" ht="14.5">
      <c r="A6" s="118" t="s">
        <v>127</v>
      </c>
      <c r="B6" s="102">
        <v>63</v>
      </c>
      <c r="D6" s="899"/>
      <c r="F6" s="137"/>
      <c r="G6" s="129"/>
    </row>
    <row r="7" spans="1:12" ht="28">
      <c r="A7" t="s">
        <v>128</v>
      </c>
      <c r="B7" s="108">
        <v>12745</v>
      </c>
      <c r="C7" s="108" t="s">
        <v>129</v>
      </c>
      <c r="D7" s="79" t="s">
        <v>130</v>
      </c>
      <c r="F7" s="905"/>
      <c r="G7" s="123"/>
    </row>
    <row r="8" spans="1:12" ht="28">
      <c r="A8" s="111" t="s">
        <v>131</v>
      </c>
      <c r="B8" s="108">
        <f>('WS - Delivery Model'!X65*0.5)+('WS - Delivery Model'!X67*2)+('WS - Delivery Model'!X65*0.5)</f>
        <v>99478.103383458627</v>
      </c>
      <c r="D8" s="79" t="s">
        <v>132</v>
      </c>
      <c r="F8" s="905"/>
      <c r="G8" s="123"/>
      <c r="K8" s="613"/>
      <c r="L8" s="112"/>
    </row>
    <row r="9" spans="1:12">
      <c r="A9" s="134" t="s">
        <v>133</v>
      </c>
      <c r="B9" s="586">
        <f>(B6*B7)+B8</f>
        <v>902413.10338345869</v>
      </c>
      <c r="C9" s="108"/>
      <c r="D9" s="115"/>
      <c r="F9" s="106"/>
      <c r="G9" s="123"/>
      <c r="L9" s="892"/>
    </row>
    <row r="10" spans="1:12">
      <c r="B10" s="108"/>
      <c r="D10" s="115"/>
      <c r="F10" s="106"/>
      <c r="G10" s="123"/>
    </row>
    <row r="11" spans="1:12" ht="14.5">
      <c r="A11" s="106" t="s">
        <v>134</v>
      </c>
      <c r="B11" s="588">
        <f>(((64940/955)+(19503/1345))*2.58*190)/4</f>
        <v>10110.420557620819</v>
      </c>
      <c r="C11" s="910">
        <f>(B11/(190*2.53))/B5</f>
        <v>0.33385243601826764</v>
      </c>
      <c r="D11" s="606" t="s">
        <v>135</v>
      </c>
      <c r="F11" s="607"/>
      <c r="G11" s="123"/>
    </row>
    <row r="12" spans="1:12">
      <c r="A12" s="106"/>
      <c r="B12" s="123"/>
      <c r="D12" s="115"/>
      <c r="F12" s="106"/>
      <c r="G12" s="123"/>
    </row>
    <row r="13" spans="1:12">
      <c r="A13" s="106" t="s">
        <v>136</v>
      </c>
      <c r="B13" s="107" t="s">
        <v>137</v>
      </c>
      <c r="C13" s="107"/>
      <c r="D13" s="850" t="s">
        <v>138</v>
      </c>
      <c r="F13" s="106"/>
      <c r="G13" s="123"/>
    </row>
    <row r="14" spans="1:12">
      <c r="A14" s="104"/>
      <c r="B14" s="105"/>
    </row>
    <row r="15" spans="1:12" ht="28">
      <c r="A15" s="135" t="s">
        <v>139</v>
      </c>
      <c r="B15" s="136">
        <f>SUM(424777-(47304-31536))</f>
        <v>409009</v>
      </c>
      <c r="C15" s="108"/>
      <c r="D15" s="850" t="s">
        <v>140</v>
      </c>
      <c r="F15" s="905"/>
      <c r="H15" s="906"/>
    </row>
    <row r="16" spans="1:12">
      <c r="A16" s="135" t="s">
        <v>141</v>
      </c>
      <c r="B16" s="136">
        <v>125672</v>
      </c>
      <c r="D16" s="115"/>
      <c r="F16" s="905"/>
      <c r="I16" s="892"/>
    </row>
    <row r="17" spans="1:4">
      <c r="A17" s="122"/>
      <c r="B17" s="122"/>
      <c r="D17" s="115"/>
    </row>
    <row r="18" spans="1:4">
      <c r="A18" s="109" t="s">
        <v>142</v>
      </c>
      <c r="B18" s="130">
        <f>B9+B11+B15+B16</f>
        <v>1447204.5239410796</v>
      </c>
      <c r="C18" s="130"/>
      <c r="D18" s="900"/>
    </row>
    <row r="19" spans="1:4">
      <c r="A19" s="109"/>
      <c r="B19" s="130"/>
      <c r="C19" s="130"/>
      <c r="D19" s="900"/>
    </row>
    <row r="20" spans="1:4">
      <c r="A20" s="104" t="s">
        <v>143</v>
      </c>
      <c r="D20" s="900"/>
    </row>
    <row r="21" spans="1:4">
      <c r="A21" s="83" t="s">
        <v>144</v>
      </c>
      <c r="B21" s="108">
        <f>(1/4)*'WS - Delivery Model'!X77</f>
        <v>10684.848214285714</v>
      </c>
      <c r="C21" s="108"/>
      <c r="D21" s="900"/>
    </row>
    <row r="22" spans="1:4">
      <c r="A22" s="83" t="s">
        <v>145</v>
      </c>
      <c r="B22" s="108">
        <f>(1/4)*'WS - Delivery Model'!X78</f>
        <v>10684.848214285714</v>
      </c>
      <c r="C22" s="112"/>
      <c r="D22" s="900"/>
    </row>
    <row r="23" spans="1:4">
      <c r="A23" s="83" t="s">
        <v>146</v>
      </c>
      <c r="B23" s="108">
        <f>(1/4)*'WS - Delivery Model'!X79</f>
        <v>8030.1261160714284</v>
      </c>
      <c r="C23" s="112"/>
      <c r="D23" s="900"/>
    </row>
    <row r="24" spans="1:4">
      <c r="A24" s="83" t="s">
        <v>147</v>
      </c>
      <c r="B24" s="108">
        <f>('WS - Delivery Model'!X80/4)+'WS - Delivery Model'!N61/4</f>
        <v>10792.661184210527</v>
      </c>
      <c r="C24" s="108"/>
      <c r="D24" s="900"/>
    </row>
    <row r="25" spans="1:4">
      <c r="A25" s="83"/>
      <c r="B25" s="108"/>
      <c r="C25" s="108"/>
      <c r="D25" s="900"/>
    </row>
    <row r="26" spans="1:4">
      <c r="B26" s="113">
        <f>SUM(B21:B25)</f>
        <v>40192.483728853382</v>
      </c>
      <c r="C26" s="108"/>
      <c r="D26" s="900"/>
    </row>
    <row r="27" spans="1:4">
      <c r="A27" s="109"/>
      <c r="B27" s="130"/>
      <c r="C27" s="130"/>
      <c r="D27" s="900"/>
    </row>
    <row r="28" spans="1:4">
      <c r="A28" s="109" t="s">
        <v>148</v>
      </c>
      <c r="B28" s="130">
        <f>B18+B26</f>
        <v>1487397.0076699329</v>
      </c>
      <c r="C28" s="130"/>
      <c r="D28" s="900"/>
    </row>
    <row r="29" spans="1:4">
      <c r="A29" s="109"/>
      <c r="B29" s="130"/>
      <c r="C29" s="130"/>
      <c r="D29" s="900"/>
    </row>
    <row r="30" spans="1:4">
      <c r="A30" s="911" t="s">
        <v>1397</v>
      </c>
      <c r="B30" s="912">
        <f>202496/4</f>
        <v>50624</v>
      </c>
      <c r="C30" s="130"/>
      <c r="D30" s="900" t="s">
        <v>1396</v>
      </c>
    </row>
    <row r="31" spans="1:4">
      <c r="A31" s="109"/>
      <c r="B31" s="130"/>
      <c r="C31" s="130"/>
      <c r="D31" s="900"/>
    </row>
    <row r="32" spans="1:4">
      <c r="A32" s="109" t="s">
        <v>1398</v>
      </c>
      <c r="B32" s="130">
        <f>B28+B30</f>
        <v>1538021.0076699329</v>
      </c>
      <c r="C32" s="903"/>
      <c r="D32" s="900"/>
    </row>
    <row r="33" spans="1:4">
      <c r="A33" s="109"/>
      <c r="B33" s="130"/>
      <c r="C33" s="130"/>
      <c r="D33" s="900"/>
    </row>
    <row r="34" spans="1:4">
      <c r="A34" s="897"/>
      <c r="B34" s="898"/>
      <c r="D34" s="115"/>
    </row>
    <row r="35" spans="1:4">
      <c r="A35" s="894" t="s">
        <v>151</v>
      </c>
      <c r="B35" s="130"/>
      <c r="C35" s="123"/>
      <c r="D35" s="901"/>
    </row>
    <row r="36" spans="1:4">
      <c r="A36" s="106" t="s">
        <v>152</v>
      </c>
      <c r="B36" s="123">
        <v>10000</v>
      </c>
      <c r="C36" s="123"/>
      <c r="D36" s="901"/>
    </row>
    <row r="37" spans="1:4">
      <c r="A37" s="109" t="s">
        <v>153</v>
      </c>
      <c r="B37" s="130">
        <f>(B18-(B6*B36))/B6</f>
        <v>12971.500380017136</v>
      </c>
      <c r="C37" s="123"/>
      <c r="D37" s="901"/>
    </row>
    <row r="38" spans="1:4">
      <c r="A38" s="106" t="s">
        <v>154</v>
      </c>
      <c r="B38" s="123">
        <f>SUM(B36:B37)</f>
        <v>22971.500380017136</v>
      </c>
      <c r="C38" s="123"/>
      <c r="D38" s="901"/>
    </row>
    <row r="39" spans="1:4">
      <c r="A39" s="907"/>
      <c r="B39" s="596"/>
      <c r="C39" s="123"/>
      <c r="D39" s="901"/>
    </row>
    <row r="40" spans="1:4">
      <c r="A40" s="106"/>
      <c r="B40" s="123"/>
      <c r="C40" s="123"/>
      <c r="D40" s="901"/>
    </row>
    <row r="41" spans="1:4">
      <c r="A41" s="109" t="s">
        <v>155</v>
      </c>
      <c r="B41" s="123"/>
      <c r="C41" s="123"/>
      <c r="D41" s="901"/>
    </row>
    <row r="42" spans="1:4">
      <c r="A42" s="106" t="s">
        <v>152</v>
      </c>
      <c r="B42" s="123">
        <v>10000</v>
      </c>
      <c r="C42" s="123"/>
      <c r="D42" s="901"/>
    </row>
    <row r="43" spans="1:4">
      <c r="A43" s="109" t="s">
        <v>153</v>
      </c>
      <c r="B43" s="130">
        <f>(B28-(B6*B42))/B6</f>
        <v>13609.476312221157</v>
      </c>
      <c r="C43" s="123"/>
      <c r="D43" s="901"/>
    </row>
    <row r="44" spans="1:4">
      <c r="A44" s="106" t="s">
        <v>154</v>
      </c>
      <c r="B44" s="123">
        <f>SUM(B42:B43)</f>
        <v>23609.476312221159</v>
      </c>
      <c r="C44" s="123"/>
      <c r="D44" s="901"/>
    </row>
    <row r="45" spans="1:4">
      <c r="A45" s="894"/>
      <c r="B45" s="130"/>
      <c r="C45" s="123"/>
      <c r="D45" s="901"/>
    </row>
    <row r="46" spans="1:4">
      <c r="A46" s="109" t="s">
        <v>1399</v>
      </c>
      <c r="B46" s="141"/>
      <c r="C46" s="122"/>
      <c r="D46" s="896"/>
    </row>
    <row r="47" spans="1:4" ht="28">
      <c r="A47" s="122" t="s">
        <v>156</v>
      </c>
      <c r="B47" s="123">
        <f>'AP Formula 202324'!B18-'AP Formula 202122'!B51</f>
        <v>1330914.1585531391</v>
      </c>
      <c r="C47" s="122"/>
      <c r="D47" s="902" t="s">
        <v>157</v>
      </c>
    </row>
    <row r="48" spans="1:4">
      <c r="A48" s="122"/>
      <c r="B48" s="123"/>
      <c r="C48" s="122"/>
      <c r="D48" s="902"/>
    </row>
    <row r="49" spans="1:5" ht="28">
      <c r="A49" s="122" t="s">
        <v>158</v>
      </c>
      <c r="B49" s="123">
        <f>B18-'AP Formula 202122'!B51</f>
        <v>1393433.7808779546</v>
      </c>
      <c r="C49" s="122"/>
      <c r="D49" s="902" t="s">
        <v>1406</v>
      </c>
      <c r="E49" s="112"/>
    </row>
    <row r="50" spans="1:5" ht="28">
      <c r="A50" s="894" t="s">
        <v>159</v>
      </c>
      <c r="B50" s="895">
        <f>(B49-B47)/B47</f>
        <v>4.6974947199285716E-2</v>
      </c>
      <c r="C50" s="122"/>
      <c r="D50" s="902" t="s">
        <v>1400</v>
      </c>
    </row>
    <row r="51" spans="1:5">
      <c r="D51" s="115"/>
    </row>
    <row r="52" spans="1:5">
      <c r="B52" s="851"/>
      <c r="D52" s="900"/>
    </row>
    <row r="53" spans="1:5">
      <c r="A53" s="100" t="s">
        <v>161</v>
      </c>
      <c r="B53" s="110">
        <f>B32</f>
        <v>1538021.0076699329</v>
      </c>
      <c r="C53" s="108"/>
      <c r="D53" s="115"/>
    </row>
    <row r="54" spans="1:5">
      <c r="A54" s="109" t="s">
        <v>162</v>
      </c>
      <c r="B54" s="110">
        <f>B53*4</f>
        <v>6152084.0306797316</v>
      </c>
      <c r="C54" s="108"/>
      <c r="D54" s="900"/>
    </row>
    <row r="55" spans="1:5">
      <c r="A55" s="109"/>
      <c r="B55" s="110"/>
      <c r="C55" s="108"/>
      <c r="D55" s="115"/>
    </row>
    <row r="56" spans="1:5" ht="14.5">
      <c r="A56" s="106"/>
      <c r="B56" s="110"/>
      <c r="C56" s="108"/>
      <c r="D56" s="899"/>
    </row>
    <row r="57" spans="1:5" ht="14.5">
      <c r="A57" s="104" t="s">
        <v>163</v>
      </c>
      <c r="B57" s="108"/>
      <c r="C57" s="108"/>
      <c r="D57" s="899"/>
    </row>
    <row r="58" spans="1:5" ht="17" customHeight="1">
      <c r="A58" s="1114" t="s">
        <v>1395</v>
      </c>
      <c r="B58" s="1114"/>
      <c r="C58" s="1114"/>
      <c r="D58" s="900"/>
    </row>
    <row r="59" spans="1:5" ht="14.25" customHeight="1">
      <c r="A59" s="1116" t="s">
        <v>1407</v>
      </c>
      <c r="B59" s="1116"/>
      <c r="C59" s="1116"/>
      <c r="D59" s="900"/>
    </row>
    <row r="60" spans="1:5" ht="21.5" customHeight="1">
      <c r="A60" s="1116"/>
      <c r="B60" s="1116"/>
      <c r="C60" s="1116"/>
      <c r="D60" s="900"/>
    </row>
    <row r="61" spans="1:5" ht="14.25" customHeight="1">
      <c r="A61" s="1116" t="s">
        <v>1405</v>
      </c>
      <c r="B61" s="1117"/>
      <c r="C61" s="1117"/>
    </row>
    <row r="62" spans="1:5" ht="14.25" customHeight="1">
      <c r="A62" s="1117"/>
      <c r="B62" s="1117"/>
      <c r="C62" s="1117"/>
    </row>
    <row r="63" spans="1:5" ht="14.25" customHeight="1">
      <c r="A63" s="1117"/>
      <c r="B63" s="1117"/>
      <c r="C63" s="1117"/>
    </row>
    <row r="64" spans="1:5" ht="14.25" customHeight="1">
      <c r="A64" s="1117"/>
      <c r="B64" s="1117"/>
      <c r="C64" s="1117"/>
    </row>
    <row r="65" spans="1:3" ht="34.5" customHeight="1">
      <c r="A65" s="1117"/>
      <c r="B65" s="1117"/>
      <c r="C65" s="1117"/>
    </row>
    <row r="66" spans="1:3" ht="14.25" customHeight="1">
      <c r="A66" s="1115" t="s">
        <v>1408</v>
      </c>
      <c r="B66" s="1115"/>
      <c r="C66" s="1115"/>
    </row>
    <row r="67" spans="1:3" ht="14.25" customHeight="1">
      <c r="A67" s="1115"/>
      <c r="B67" s="1115"/>
      <c r="C67" s="1115"/>
    </row>
    <row r="68" spans="1:3" ht="14.25" customHeight="1">
      <c r="A68" s="1115"/>
      <c r="B68" s="1115"/>
      <c r="C68" s="1115"/>
    </row>
    <row r="69" spans="1:3" ht="21" customHeight="1">
      <c r="A69" s="1115"/>
      <c r="B69" s="1115"/>
      <c r="C69" s="1115"/>
    </row>
    <row r="70" spans="1:3" ht="14.25" customHeight="1">
      <c r="A70" s="1115" t="s">
        <v>1401</v>
      </c>
      <c r="B70" s="1115"/>
      <c r="C70" s="1115"/>
    </row>
    <row r="71" spans="1:3" ht="14.25" customHeight="1">
      <c r="A71" s="1115"/>
      <c r="B71" s="1115"/>
      <c r="C71" s="1115"/>
    </row>
    <row r="72" spans="1:3" ht="18.5" customHeight="1">
      <c r="A72" s="1115"/>
      <c r="B72" s="1115"/>
      <c r="C72" s="1115"/>
    </row>
    <row r="73" spans="1:3" ht="14.25" customHeight="1">
      <c r="A73" s="1096"/>
      <c r="B73" s="1096"/>
      <c r="C73" s="1096"/>
    </row>
    <row r="74" spans="1:3" ht="28.5" customHeight="1">
      <c r="A74" s="1115" t="s">
        <v>1402</v>
      </c>
      <c r="B74" s="1115"/>
      <c r="C74" s="1115"/>
    </row>
    <row r="75" spans="1:3" ht="34" customHeight="1">
      <c r="A75" s="1115" t="s">
        <v>1403</v>
      </c>
      <c r="B75" s="1115"/>
      <c r="C75" s="1097"/>
    </row>
    <row r="76" spans="1:3" ht="14.25" customHeight="1">
      <c r="A76" s="1098"/>
      <c r="B76" s="1098"/>
      <c r="C76" s="1098"/>
    </row>
    <row r="77" spans="1:3">
      <c r="A77" s="1099" t="s">
        <v>166</v>
      </c>
      <c r="B77" s="1100"/>
      <c r="C77" s="1098"/>
    </row>
    <row r="78" spans="1:3">
      <c r="A78" s="1115" t="s">
        <v>167</v>
      </c>
      <c r="B78" s="1115"/>
      <c r="C78" s="1115"/>
    </row>
    <row r="79" spans="1:3" ht="18" customHeight="1">
      <c r="A79" s="1115"/>
      <c r="B79" s="1115"/>
      <c r="C79" s="1115"/>
    </row>
    <row r="80" spans="1:3" ht="21" customHeight="1">
      <c r="A80" s="1115" t="s">
        <v>1409</v>
      </c>
      <c r="B80" s="1115"/>
      <c r="C80" s="1115"/>
    </row>
    <row r="81" spans="1:3">
      <c r="A81" s="1115"/>
      <c r="B81" s="1115"/>
      <c r="C81" s="1115"/>
    </row>
    <row r="82" spans="1:3">
      <c r="A82" s="1115"/>
      <c r="B82" s="1115"/>
      <c r="C82" s="1115"/>
    </row>
    <row r="83" spans="1:3">
      <c r="A83" s="1115"/>
      <c r="B83" s="1115"/>
      <c r="C83" s="1115"/>
    </row>
    <row r="84" spans="1:3">
      <c r="A84" s="1115"/>
      <c r="B84" s="1115"/>
      <c r="C84" s="1115"/>
    </row>
    <row r="85" spans="1:3">
      <c r="A85" s="1115"/>
      <c r="B85" s="1115"/>
      <c r="C85" s="1115"/>
    </row>
    <row r="86" spans="1:3">
      <c r="A86" s="1115"/>
      <c r="B86" s="1115"/>
      <c r="C86" s="1115"/>
    </row>
    <row r="87" spans="1:3">
      <c r="A87" s="1115"/>
      <c r="B87" s="1115"/>
      <c r="C87" s="1115"/>
    </row>
    <row r="88" spans="1:3" ht="18.5" customHeight="1">
      <c r="A88" s="1115"/>
      <c r="B88" s="1115"/>
      <c r="C88" s="1115"/>
    </row>
  </sheetData>
  <sheetProtection algorithmName="SHA-512" hashValue="iP0fs/8zmO1qcPHxoIAlkDSZluzoNjTrbuyh9Pi+OWqQxK2yJgOUw6QRMuqY95wjbtgkcmt7WG4heewI8dOrzw==" saltValue="zGhDT15qqT3TH7qym+p9Fw==" spinCount="100000" sheet="1" selectLockedCells="1" selectUnlockedCells="1"/>
  <mergeCells count="9">
    <mergeCell ref="A58:C58"/>
    <mergeCell ref="A80:C88"/>
    <mergeCell ref="A75:B75"/>
    <mergeCell ref="A78:C79"/>
    <mergeCell ref="A74:C74"/>
    <mergeCell ref="A59:C60"/>
    <mergeCell ref="A66:C69"/>
    <mergeCell ref="A61:C65"/>
    <mergeCell ref="A70:C72"/>
  </mergeCells>
  <conditionalFormatting sqref="B50">
    <cfRule type="cellIs" dxfId="8" priority="1" operator="greaterThan">
      <formula>0</formula>
    </cfRule>
    <cfRule type="cellIs" dxfId="7" priority="2" operator="greaterThan">
      <formula>0</formula>
    </cfRule>
    <cfRule type="cellIs" dxfId="6" priority="3" operator="greaterThan">
      <formula>0</formula>
    </cfRule>
  </conditionalFormatting>
  <pageMargins left="0.7" right="0.7" top="0.75" bottom="0.75" header="0.3" footer="0.3"/>
  <pageSetup paperSize="9" scale="52" orientation="portrait" r:id="rId1"/>
  <headerFooter>
    <oddHeader>&amp;C&amp;"Calibri,Regular"Lincolnshire County Council</oddHeader>
    <oddFooter>&amp;C&amp;"Calibri,Regular"2024/25 AP Budget Share Calculation
AP Formula 2024/25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DBDE2-F6D9-49B6-9F33-6A00E0954B9F}">
  <dimension ref="A1:S350"/>
  <sheetViews>
    <sheetView workbookViewId="0">
      <selection activeCell="F194" sqref="F194"/>
    </sheetView>
  </sheetViews>
  <sheetFormatPr defaultColWidth="8.5" defaultRowHeight="15.5"/>
  <cols>
    <col min="1" max="1" width="15" bestFit="1" customWidth="1"/>
    <col min="2" max="2" width="36.58203125" bestFit="1" customWidth="1"/>
    <col min="3" max="3" width="11.08203125" bestFit="1" customWidth="1"/>
    <col min="4" max="4" width="15" bestFit="1" customWidth="1"/>
    <col min="5" max="5" width="12.25" bestFit="1" customWidth="1"/>
    <col min="6" max="6" width="54.58203125" bestFit="1" customWidth="1"/>
    <col min="7" max="7" width="13.83203125" customWidth="1"/>
    <col min="8" max="8" width="16.58203125" bestFit="1" customWidth="1"/>
    <col min="9" max="9" width="17.33203125" style="1092" customWidth="1"/>
    <col min="10" max="10" width="15.83203125" bestFit="1" customWidth="1"/>
    <col min="11" max="11" width="19.58203125" customWidth="1"/>
    <col min="12" max="12" width="12.33203125" bestFit="1" customWidth="1"/>
    <col min="13" max="13" width="13.08203125" bestFit="1" customWidth="1"/>
  </cols>
  <sheetData>
    <row r="1" spans="1:19" ht="75.75" customHeight="1">
      <c r="A1" s="1087" t="s">
        <v>169</v>
      </c>
      <c r="B1" s="1087" t="s">
        <v>170</v>
      </c>
      <c r="C1" s="1087" t="s">
        <v>171</v>
      </c>
      <c r="D1" s="1087" t="s">
        <v>172</v>
      </c>
      <c r="E1" s="1087" t="s">
        <v>173</v>
      </c>
      <c r="F1" s="1087" t="s">
        <v>174</v>
      </c>
      <c r="G1" s="1088" t="s">
        <v>175</v>
      </c>
      <c r="H1" s="1089" t="s">
        <v>176</v>
      </c>
      <c r="I1" s="1090" t="s">
        <v>177</v>
      </c>
      <c r="J1" s="1089" t="s">
        <v>178</v>
      </c>
      <c r="K1" s="1089" t="s">
        <v>179</v>
      </c>
    </row>
    <row r="2" spans="1:19">
      <c r="A2" s="1091">
        <v>301</v>
      </c>
      <c r="B2" s="1091" t="s">
        <v>180</v>
      </c>
      <c r="C2" s="1091">
        <v>132816</v>
      </c>
      <c r="D2" s="1091">
        <v>3011100</v>
      </c>
      <c r="E2" s="1091">
        <v>1100</v>
      </c>
      <c r="F2" s="1091" t="s">
        <v>181</v>
      </c>
      <c r="G2" s="1091">
        <v>12</v>
      </c>
      <c r="H2" s="1092">
        <v>1877121</v>
      </c>
      <c r="I2" s="1092">
        <v>63822.114000000001</v>
      </c>
      <c r="J2" s="1091"/>
      <c r="K2" s="1091" t="s">
        <v>182</v>
      </c>
      <c r="L2" s="1092"/>
      <c r="M2" s="1093"/>
    </row>
    <row r="3" spans="1:19">
      <c r="A3" s="1091">
        <v>302</v>
      </c>
      <c r="B3" s="1091" t="s">
        <v>183</v>
      </c>
      <c r="C3" s="1091">
        <v>101255</v>
      </c>
      <c r="D3" s="1091">
        <v>3021100</v>
      </c>
      <c r="E3" s="1091">
        <v>1100</v>
      </c>
      <c r="F3" s="1091" t="s">
        <v>184</v>
      </c>
      <c r="G3" s="1091">
        <v>12</v>
      </c>
      <c r="H3" s="1092">
        <v>2780360</v>
      </c>
      <c r="I3" s="1092">
        <v>94532.24</v>
      </c>
      <c r="J3" s="1091"/>
      <c r="K3" s="1091" t="s">
        <v>182</v>
      </c>
      <c r="L3" s="1092"/>
      <c r="M3" s="1093"/>
      <c r="S3" s="1091"/>
    </row>
    <row r="4" spans="1:19">
      <c r="A4" s="1091">
        <v>302</v>
      </c>
      <c r="B4" s="1091" t="s">
        <v>183</v>
      </c>
      <c r="C4" s="1091">
        <v>133749</v>
      </c>
      <c r="D4" s="1091">
        <v>3021102</v>
      </c>
      <c r="E4" s="1091">
        <v>1102</v>
      </c>
      <c r="F4" s="1091" t="s">
        <v>185</v>
      </c>
      <c r="G4" s="1091">
        <v>12</v>
      </c>
      <c r="H4" s="1092">
        <v>486423</v>
      </c>
      <c r="I4" s="1092">
        <v>16538.382000000001</v>
      </c>
      <c r="J4" s="1091"/>
      <c r="K4" s="1091" t="s">
        <v>182</v>
      </c>
      <c r="L4" s="1092"/>
      <c r="M4" s="1093"/>
      <c r="S4" s="1091"/>
    </row>
    <row r="5" spans="1:19">
      <c r="A5" s="1091">
        <v>370</v>
      </c>
      <c r="B5" s="1091" t="s">
        <v>186</v>
      </c>
      <c r="C5" s="1091">
        <v>141564</v>
      </c>
      <c r="D5" s="1091">
        <v>3701101</v>
      </c>
      <c r="E5" s="1091">
        <v>1101</v>
      </c>
      <c r="F5" s="1091" t="s">
        <v>187</v>
      </c>
      <c r="G5" s="1091">
        <v>12</v>
      </c>
      <c r="H5" s="1092">
        <v>2024255</v>
      </c>
      <c r="I5" s="1092">
        <v>68824.67</v>
      </c>
      <c r="J5" s="1091"/>
      <c r="K5" s="1091" t="s">
        <v>188</v>
      </c>
      <c r="L5" s="1092"/>
      <c r="M5" s="1093"/>
      <c r="S5" s="1091"/>
    </row>
    <row r="6" spans="1:19">
      <c r="A6" s="1091">
        <v>822</v>
      </c>
      <c r="B6" s="1091" t="s">
        <v>189</v>
      </c>
      <c r="C6" s="1091">
        <v>139320</v>
      </c>
      <c r="D6" s="1091">
        <v>8221104</v>
      </c>
      <c r="E6" s="1091">
        <v>1104</v>
      </c>
      <c r="F6" s="1091" t="s">
        <v>190</v>
      </c>
      <c r="G6" s="1091">
        <v>12</v>
      </c>
      <c r="H6" s="1092">
        <v>2509225</v>
      </c>
      <c r="I6" s="1092">
        <v>85313.650000000009</v>
      </c>
      <c r="J6" s="1091"/>
      <c r="K6" s="1091" t="s">
        <v>188</v>
      </c>
      <c r="L6" s="1092"/>
      <c r="M6" s="1093"/>
      <c r="S6" s="1091"/>
    </row>
    <row r="7" spans="1:19">
      <c r="A7" s="1091">
        <v>303</v>
      </c>
      <c r="B7" s="1091" t="s">
        <v>191</v>
      </c>
      <c r="C7" s="1091">
        <v>144407</v>
      </c>
      <c r="D7" s="1091">
        <v>3031102</v>
      </c>
      <c r="E7" s="1091">
        <v>1102</v>
      </c>
      <c r="F7" s="1091" t="s">
        <v>192</v>
      </c>
      <c r="G7" s="1091">
        <v>12</v>
      </c>
      <c r="H7" s="1092">
        <v>3293612.5</v>
      </c>
      <c r="I7" s="1092">
        <v>111982.82500000001</v>
      </c>
      <c r="J7" s="1091"/>
      <c r="K7" s="1091" t="s">
        <v>188</v>
      </c>
      <c r="L7" s="1092"/>
      <c r="M7" s="1093"/>
      <c r="S7" s="1091"/>
    </row>
    <row r="8" spans="1:19">
      <c r="A8" s="1091">
        <v>330</v>
      </c>
      <c r="B8" s="1091" t="s">
        <v>193</v>
      </c>
      <c r="C8" s="1091">
        <v>103146</v>
      </c>
      <c r="D8" s="1091">
        <v>3301100</v>
      </c>
      <c r="E8" s="1091">
        <v>1100</v>
      </c>
      <c r="F8" s="1091" t="s">
        <v>194</v>
      </c>
      <c r="G8" s="1091">
        <v>12</v>
      </c>
      <c r="H8" s="1092">
        <v>7983786</v>
      </c>
      <c r="I8" s="1092">
        <v>271448.72400000005</v>
      </c>
      <c r="J8" s="1091"/>
      <c r="K8" s="1091" t="s">
        <v>182</v>
      </c>
      <c r="L8" s="1092"/>
      <c r="M8" s="1093"/>
      <c r="S8" s="1091"/>
    </row>
    <row r="9" spans="1:19">
      <c r="A9" s="1091">
        <v>330</v>
      </c>
      <c r="B9" s="1091" t="s">
        <v>193</v>
      </c>
      <c r="C9" s="1091">
        <v>138775</v>
      </c>
      <c r="D9" s="1091">
        <v>3301105</v>
      </c>
      <c r="E9" s="1091">
        <v>1105</v>
      </c>
      <c r="F9" s="1091" t="s">
        <v>195</v>
      </c>
      <c r="G9" s="1091">
        <v>12</v>
      </c>
      <c r="H9" s="1092">
        <v>1366000</v>
      </c>
      <c r="I9" s="1092">
        <v>46444</v>
      </c>
      <c r="J9" s="1091"/>
      <c r="K9" s="1091" t="s">
        <v>188</v>
      </c>
      <c r="L9" s="1092"/>
      <c r="M9" s="1093"/>
      <c r="S9" s="1091"/>
    </row>
    <row r="10" spans="1:19">
      <c r="A10" s="1091">
        <v>330</v>
      </c>
      <c r="B10" s="1091" t="s">
        <v>193</v>
      </c>
      <c r="C10" s="1091">
        <v>141739</v>
      </c>
      <c r="D10" s="1091">
        <v>3301110</v>
      </c>
      <c r="E10" s="1091">
        <v>1110</v>
      </c>
      <c r="F10" s="1091" t="s">
        <v>196</v>
      </c>
      <c r="G10" s="1091">
        <v>12</v>
      </c>
      <c r="H10" s="1092">
        <v>1371000</v>
      </c>
      <c r="I10" s="1092">
        <v>46614</v>
      </c>
      <c r="J10" s="1091"/>
      <c r="K10" s="1091" t="s">
        <v>188</v>
      </c>
      <c r="L10" s="1092"/>
      <c r="M10" s="1093"/>
      <c r="S10" s="1091"/>
    </row>
    <row r="11" spans="1:19">
      <c r="A11" s="1091">
        <v>330</v>
      </c>
      <c r="B11" s="1091" t="s">
        <v>193</v>
      </c>
      <c r="C11" s="1091">
        <v>139671</v>
      </c>
      <c r="D11" s="1091">
        <v>3301107</v>
      </c>
      <c r="E11" s="1091">
        <v>1107</v>
      </c>
      <c r="F11" s="1091" t="s">
        <v>197</v>
      </c>
      <c r="G11" s="1091">
        <v>12</v>
      </c>
      <c r="H11" s="1092">
        <v>1132225</v>
      </c>
      <c r="I11" s="1092">
        <v>38495.65</v>
      </c>
      <c r="J11" s="1091"/>
      <c r="K11" s="1091" t="s">
        <v>188</v>
      </c>
      <c r="L11" s="1092"/>
      <c r="M11" s="1093"/>
      <c r="S11" s="1091"/>
    </row>
    <row r="12" spans="1:19">
      <c r="A12" s="1091">
        <v>330</v>
      </c>
      <c r="B12" s="1091" t="s">
        <v>193</v>
      </c>
      <c r="C12" s="1091">
        <v>142071</v>
      </c>
      <c r="D12" s="1091">
        <v>3301111</v>
      </c>
      <c r="E12" s="1091">
        <v>1111</v>
      </c>
      <c r="F12" s="1091" t="s">
        <v>198</v>
      </c>
      <c r="G12" s="1091">
        <v>12</v>
      </c>
      <c r="H12" s="1092">
        <v>1073225</v>
      </c>
      <c r="I12" s="1092">
        <v>36489.65</v>
      </c>
      <c r="J12" s="1091"/>
      <c r="K12" s="1091" t="s">
        <v>188</v>
      </c>
      <c r="L12" s="1092"/>
      <c r="M12" s="1093"/>
      <c r="S12" s="1091"/>
    </row>
    <row r="13" spans="1:19">
      <c r="A13" s="1091">
        <v>330</v>
      </c>
      <c r="B13" s="1091" t="s">
        <v>193</v>
      </c>
      <c r="C13" s="1091">
        <v>146731</v>
      </c>
      <c r="D13" s="1091">
        <v>3301112</v>
      </c>
      <c r="E13" s="1091">
        <v>1112</v>
      </c>
      <c r="F13" s="1091" t="s">
        <v>199</v>
      </c>
      <c r="G13" s="1091">
        <v>12</v>
      </c>
      <c r="H13" s="1092">
        <v>735612.5</v>
      </c>
      <c r="I13" s="1092">
        <v>25010.825000000001</v>
      </c>
      <c r="J13" s="1091"/>
      <c r="K13" s="1091" t="s">
        <v>188</v>
      </c>
      <c r="L13" s="1092"/>
      <c r="M13" s="1093"/>
      <c r="S13" s="1091"/>
    </row>
    <row r="14" spans="1:19">
      <c r="A14" s="1091">
        <v>330</v>
      </c>
      <c r="B14" s="1091" t="s">
        <v>193</v>
      </c>
      <c r="C14" s="1091">
        <v>139731</v>
      </c>
      <c r="D14" s="1091">
        <v>3301108</v>
      </c>
      <c r="E14" s="1091">
        <v>1108</v>
      </c>
      <c r="F14" s="1091" t="s">
        <v>200</v>
      </c>
      <c r="G14" s="1091">
        <v>12</v>
      </c>
      <c r="H14" s="1092">
        <v>1795270</v>
      </c>
      <c r="I14" s="1092">
        <v>61039.180000000008</v>
      </c>
      <c r="J14" s="1091"/>
      <c r="K14" s="1091" t="s">
        <v>188</v>
      </c>
      <c r="L14" s="1092"/>
      <c r="M14" s="1093"/>
      <c r="S14" s="1091"/>
    </row>
    <row r="15" spans="1:19">
      <c r="A15" s="1091">
        <v>889</v>
      </c>
      <c r="B15" s="1091" t="s">
        <v>201</v>
      </c>
      <c r="C15" s="1091">
        <v>132128</v>
      </c>
      <c r="D15" s="1091">
        <v>8891100</v>
      </c>
      <c r="E15" s="1091">
        <v>1100</v>
      </c>
      <c r="F15" s="1091" t="s">
        <v>202</v>
      </c>
      <c r="G15" s="1091">
        <v>12</v>
      </c>
      <c r="H15" s="1092">
        <v>2694267</v>
      </c>
      <c r="I15" s="1092">
        <v>91605.294999999998</v>
      </c>
      <c r="J15" s="1091"/>
      <c r="K15" s="1091" t="s">
        <v>182</v>
      </c>
      <c r="L15" s="1092"/>
      <c r="M15" s="1093"/>
      <c r="S15" s="1091"/>
    </row>
    <row r="16" spans="1:19">
      <c r="A16" s="1091">
        <v>889</v>
      </c>
      <c r="B16" s="1091" t="s">
        <v>201</v>
      </c>
      <c r="C16" s="1091">
        <v>139413</v>
      </c>
      <c r="D16" s="1091">
        <v>8891102</v>
      </c>
      <c r="E16" s="1091">
        <v>1102</v>
      </c>
      <c r="F16" s="1091" t="s">
        <v>203</v>
      </c>
      <c r="G16" s="1091">
        <v>12</v>
      </c>
      <c r="H16" s="1092">
        <v>2704567.5</v>
      </c>
      <c r="I16" s="1092">
        <v>91955.295000000013</v>
      </c>
      <c r="J16" s="1091"/>
      <c r="K16" s="1091" t="s">
        <v>188</v>
      </c>
      <c r="L16" s="1092"/>
      <c r="M16" s="1093"/>
      <c r="S16" s="1091"/>
    </row>
    <row r="17" spans="1:19">
      <c r="A17" s="1091">
        <v>890</v>
      </c>
      <c r="B17" s="1091" t="s">
        <v>204</v>
      </c>
      <c r="C17" s="1091">
        <v>131772</v>
      </c>
      <c r="D17" s="1091">
        <v>8901100</v>
      </c>
      <c r="E17" s="1091">
        <v>1100</v>
      </c>
      <c r="F17" s="1091" t="s">
        <v>205</v>
      </c>
      <c r="G17" s="1091">
        <v>12</v>
      </c>
      <c r="H17" s="1092">
        <v>3385406</v>
      </c>
      <c r="I17" s="1092">
        <v>115103.804</v>
      </c>
      <c r="J17" s="1091"/>
      <c r="K17" s="1091" t="s">
        <v>182</v>
      </c>
      <c r="L17" s="1092"/>
      <c r="M17" s="1093"/>
      <c r="S17" s="1091"/>
    </row>
    <row r="18" spans="1:19">
      <c r="A18" s="1091">
        <v>350</v>
      </c>
      <c r="B18" s="1091" t="s">
        <v>206</v>
      </c>
      <c r="C18" s="1091">
        <v>142702</v>
      </c>
      <c r="D18" s="1091">
        <v>3501109</v>
      </c>
      <c r="E18" s="1091">
        <v>1109</v>
      </c>
      <c r="F18" s="1091" t="s">
        <v>207</v>
      </c>
      <c r="G18" s="1091">
        <v>12</v>
      </c>
      <c r="H18" s="1092">
        <v>946550</v>
      </c>
      <c r="I18" s="1092">
        <v>32182.7</v>
      </c>
      <c r="J18" s="1091"/>
      <c r="K18" s="1091" t="s">
        <v>188</v>
      </c>
      <c r="L18" s="1092"/>
      <c r="M18" s="1093"/>
      <c r="S18" s="1091"/>
    </row>
    <row r="19" spans="1:19">
      <c r="A19" s="1091">
        <v>350</v>
      </c>
      <c r="B19" s="1091" t="s">
        <v>206</v>
      </c>
      <c r="C19" s="1091">
        <v>142719</v>
      </c>
      <c r="D19" s="1091">
        <v>3501100</v>
      </c>
      <c r="E19" s="1091">
        <v>1100</v>
      </c>
      <c r="F19" s="1091" t="s">
        <v>208</v>
      </c>
      <c r="G19" s="1091">
        <v>12</v>
      </c>
      <c r="H19" s="1092">
        <v>1049792.5</v>
      </c>
      <c r="I19" s="1092">
        <v>35692.945</v>
      </c>
      <c r="J19" s="1091"/>
      <c r="K19" s="1091" t="s">
        <v>188</v>
      </c>
      <c r="L19" s="1092"/>
      <c r="M19" s="1093"/>
      <c r="S19" s="1091"/>
    </row>
    <row r="20" spans="1:19">
      <c r="A20" s="1091">
        <v>350</v>
      </c>
      <c r="B20" s="1091" t="s">
        <v>206</v>
      </c>
      <c r="C20" s="1091">
        <v>142758</v>
      </c>
      <c r="D20" s="1091">
        <v>3501103</v>
      </c>
      <c r="E20" s="1091">
        <v>1103</v>
      </c>
      <c r="F20" s="1091" t="s">
        <v>209</v>
      </c>
      <c r="G20" s="1091">
        <v>12</v>
      </c>
      <c r="H20" s="1092">
        <v>2007082.5</v>
      </c>
      <c r="I20" s="1092">
        <v>68240.805000000008</v>
      </c>
      <c r="J20" s="1091"/>
      <c r="K20" s="1091" t="s">
        <v>188</v>
      </c>
      <c r="L20" s="1092"/>
      <c r="M20" s="1093"/>
      <c r="S20" s="1091"/>
    </row>
    <row r="21" spans="1:19">
      <c r="A21" s="1091">
        <v>839</v>
      </c>
      <c r="B21" s="1091" t="s">
        <v>210</v>
      </c>
      <c r="C21" s="1091">
        <v>134374</v>
      </c>
      <c r="D21" s="1091">
        <v>8391106</v>
      </c>
      <c r="E21" s="1091">
        <v>1106</v>
      </c>
      <c r="F21" s="1091" t="s">
        <v>211</v>
      </c>
      <c r="G21" s="1091">
        <v>12</v>
      </c>
      <c r="H21" s="1092">
        <v>848392</v>
      </c>
      <c r="I21" s="1092">
        <v>28845.328000000001</v>
      </c>
      <c r="J21" s="1091"/>
      <c r="K21" s="1091" t="s">
        <v>182</v>
      </c>
      <c r="L21" s="1092"/>
      <c r="M21" s="1093"/>
      <c r="S21" s="1091"/>
    </row>
    <row r="22" spans="1:19">
      <c r="A22" s="1091">
        <v>839</v>
      </c>
      <c r="B22" s="1091" t="s">
        <v>210</v>
      </c>
      <c r="C22" s="1091">
        <v>139498</v>
      </c>
      <c r="D22" s="1091">
        <v>8391100</v>
      </c>
      <c r="E22" s="1091">
        <v>1100</v>
      </c>
      <c r="F22" s="1091" t="s">
        <v>212</v>
      </c>
      <c r="G22" s="1091">
        <v>12</v>
      </c>
      <c r="H22" s="1092">
        <v>2456007.5</v>
      </c>
      <c r="I22" s="1092">
        <v>83504.255000000005</v>
      </c>
      <c r="J22" s="1091"/>
      <c r="K22" s="1091" t="s">
        <v>188</v>
      </c>
      <c r="L22" s="1092"/>
      <c r="M22" s="1093"/>
      <c r="S22" s="1091"/>
    </row>
    <row r="23" spans="1:19">
      <c r="A23" s="1091">
        <v>867</v>
      </c>
      <c r="B23" s="1091" t="s">
        <v>213</v>
      </c>
      <c r="C23" s="1091">
        <v>131769</v>
      </c>
      <c r="D23" s="1091">
        <v>8671105</v>
      </c>
      <c r="E23" s="1091">
        <v>1105</v>
      </c>
      <c r="F23" s="1091" t="s">
        <v>214</v>
      </c>
      <c r="G23" s="1091">
        <v>12</v>
      </c>
      <c r="H23" s="1092">
        <v>1190214</v>
      </c>
      <c r="I23" s="1092">
        <v>40467.276000000005</v>
      </c>
      <c r="J23" s="1091"/>
      <c r="K23" s="1091" t="s">
        <v>182</v>
      </c>
      <c r="L23" s="1092"/>
      <c r="M23" s="1093"/>
      <c r="S23" s="1091"/>
    </row>
    <row r="24" spans="1:19">
      <c r="A24" s="1091">
        <v>380</v>
      </c>
      <c r="B24" s="1091" t="s">
        <v>215</v>
      </c>
      <c r="C24" s="1091">
        <v>133410</v>
      </c>
      <c r="D24" s="1091">
        <v>3801103</v>
      </c>
      <c r="E24" s="1091">
        <v>1103</v>
      </c>
      <c r="F24" s="1091" t="s">
        <v>216</v>
      </c>
      <c r="G24" s="1091">
        <v>12</v>
      </c>
      <c r="H24" s="1092">
        <v>1692088</v>
      </c>
      <c r="I24" s="1092">
        <v>57530.992000000006</v>
      </c>
      <c r="J24" s="1091"/>
      <c r="K24" s="1091" t="s">
        <v>182</v>
      </c>
      <c r="L24" s="1092"/>
      <c r="M24" s="1093"/>
      <c r="S24" s="1091"/>
    </row>
    <row r="25" spans="1:19">
      <c r="A25" s="1091">
        <v>380</v>
      </c>
      <c r="B25" s="1091" t="s">
        <v>215</v>
      </c>
      <c r="C25" s="1091">
        <v>146851</v>
      </c>
      <c r="D25" s="1091">
        <v>3801104</v>
      </c>
      <c r="E25" s="1091">
        <v>1104</v>
      </c>
      <c r="F25" s="1091" t="s">
        <v>217</v>
      </c>
      <c r="G25" s="1091">
        <v>12</v>
      </c>
      <c r="H25" s="1092">
        <v>1818007.5</v>
      </c>
      <c r="I25" s="1092">
        <v>61812.255000000005</v>
      </c>
      <c r="J25" s="1091"/>
      <c r="K25" s="1091" t="s">
        <v>188</v>
      </c>
      <c r="L25" s="1092"/>
      <c r="M25" s="1093"/>
      <c r="S25" s="1091"/>
    </row>
    <row r="26" spans="1:19">
      <c r="A26" s="1091">
        <v>304</v>
      </c>
      <c r="B26" s="1091" t="s">
        <v>218</v>
      </c>
      <c r="C26" s="1091">
        <v>133660</v>
      </c>
      <c r="D26" s="1091">
        <v>3041105</v>
      </c>
      <c r="E26" s="1091">
        <v>1105</v>
      </c>
      <c r="F26" s="1091" t="s">
        <v>219</v>
      </c>
      <c r="G26" s="1091">
        <v>12</v>
      </c>
      <c r="H26" s="1092">
        <v>2003186</v>
      </c>
      <c r="I26" s="1092">
        <v>68108.324000000008</v>
      </c>
      <c r="J26" s="1091"/>
      <c r="K26" s="1091" t="s">
        <v>182</v>
      </c>
      <c r="L26" s="1092"/>
      <c r="M26" s="1093"/>
      <c r="S26" s="1091"/>
    </row>
    <row r="27" spans="1:19">
      <c r="A27" s="1091">
        <v>304</v>
      </c>
      <c r="B27" s="1091" t="s">
        <v>218</v>
      </c>
      <c r="C27" s="1091">
        <v>134846</v>
      </c>
      <c r="D27" s="1091">
        <v>3041110</v>
      </c>
      <c r="E27" s="1091">
        <v>1110</v>
      </c>
      <c r="F27" s="1091" t="s">
        <v>220</v>
      </c>
      <c r="G27" s="1091">
        <v>12</v>
      </c>
      <c r="H27" s="1092">
        <v>1152741</v>
      </c>
      <c r="I27" s="1092">
        <v>39193.194000000003</v>
      </c>
      <c r="J27" s="1091"/>
      <c r="K27" s="1091" t="s">
        <v>182</v>
      </c>
      <c r="L27" s="1092"/>
      <c r="M27" s="1093"/>
      <c r="S27" s="1091"/>
    </row>
    <row r="28" spans="1:19">
      <c r="A28" s="1091">
        <v>304</v>
      </c>
      <c r="B28" s="1091" t="s">
        <v>218</v>
      </c>
      <c r="C28" s="1091">
        <v>148250</v>
      </c>
      <c r="D28" s="1091">
        <v>3044007</v>
      </c>
      <c r="E28" s="1091">
        <v>4007</v>
      </c>
      <c r="F28" s="1091" t="s">
        <v>221</v>
      </c>
      <c r="G28" s="1091">
        <v>12</v>
      </c>
      <c r="H28" s="1092">
        <v>822702.5</v>
      </c>
      <c r="I28" s="1092">
        <v>27971.885000000002</v>
      </c>
      <c r="J28" s="1091"/>
      <c r="K28" s="1091" t="s">
        <v>188</v>
      </c>
      <c r="L28" s="1092"/>
      <c r="M28" s="1093"/>
      <c r="S28" s="1091"/>
    </row>
    <row r="29" spans="1:19">
      <c r="A29" s="1091">
        <v>846</v>
      </c>
      <c r="B29" s="1091" t="s">
        <v>222</v>
      </c>
      <c r="C29" s="1091">
        <v>138565</v>
      </c>
      <c r="D29" s="1091">
        <v>8461105</v>
      </c>
      <c r="E29" s="1091">
        <v>1105</v>
      </c>
      <c r="F29" s="1091" t="s">
        <v>223</v>
      </c>
      <c r="G29" s="1091">
        <v>12</v>
      </c>
      <c r="H29" s="1092">
        <v>1687642</v>
      </c>
      <c r="I29" s="1092">
        <v>57379.828000000001</v>
      </c>
      <c r="J29" s="1091"/>
      <c r="K29" s="1091" t="s">
        <v>182</v>
      </c>
      <c r="L29" s="1092"/>
      <c r="M29" s="1093"/>
      <c r="S29" s="1091"/>
    </row>
    <row r="30" spans="1:19">
      <c r="A30" s="1091">
        <v>801</v>
      </c>
      <c r="B30" s="1091" t="s">
        <v>224</v>
      </c>
      <c r="C30" s="1091">
        <v>133689</v>
      </c>
      <c r="D30" s="1091">
        <v>8011101</v>
      </c>
      <c r="E30" s="1091">
        <v>1101</v>
      </c>
      <c r="F30" s="1091" t="s">
        <v>225</v>
      </c>
      <c r="G30" s="1091">
        <v>12</v>
      </c>
      <c r="H30" s="1092">
        <v>2623630</v>
      </c>
      <c r="I30" s="1092">
        <v>89203.420000000013</v>
      </c>
      <c r="J30" s="1091"/>
      <c r="K30" s="1091" t="s">
        <v>182</v>
      </c>
      <c r="L30" s="1092"/>
      <c r="M30" s="1093"/>
      <c r="S30" s="1091"/>
    </row>
    <row r="31" spans="1:19">
      <c r="A31" s="1091">
        <v>801</v>
      </c>
      <c r="B31" s="1091" t="s">
        <v>224</v>
      </c>
      <c r="C31" s="1091">
        <v>144284</v>
      </c>
      <c r="D31" s="1091">
        <v>8011104</v>
      </c>
      <c r="E31" s="1091">
        <v>1104</v>
      </c>
      <c r="F31" s="1091" t="s">
        <v>226</v>
      </c>
      <c r="G31" s="1091">
        <v>12</v>
      </c>
      <c r="H31" s="1092">
        <v>2016945</v>
      </c>
      <c r="I31" s="1092">
        <v>68576.13</v>
      </c>
      <c r="J31" s="1091"/>
      <c r="K31" s="1091" t="s">
        <v>188</v>
      </c>
      <c r="L31" s="1092"/>
      <c r="M31" s="1093"/>
      <c r="S31" s="1091"/>
    </row>
    <row r="32" spans="1:19">
      <c r="A32" s="1091">
        <v>801</v>
      </c>
      <c r="B32" s="1091" t="s">
        <v>224</v>
      </c>
      <c r="C32" s="1091">
        <v>142569</v>
      </c>
      <c r="D32" s="1091">
        <v>8011106</v>
      </c>
      <c r="E32" s="1091">
        <v>1106</v>
      </c>
      <c r="F32" s="1091" t="s">
        <v>227</v>
      </c>
      <c r="G32" s="1091">
        <v>12</v>
      </c>
      <c r="H32" s="1092">
        <v>1729440</v>
      </c>
      <c r="I32" s="1092">
        <v>58800.960000000006</v>
      </c>
      <c r="J32" s="1091"/>
      <c r="K32" s="1091" t="s">
        <v>188</v>
      </c>
      <c r="L32" s="1092"/>
      <c r="M32" s="1093"/>
      <c r="S32" s="1091"/>
    </row>
    <row r="33" spans="1:19">
      <c r="A33" s="1091">
        <v>801</v>
      </c>
      <c r="B33" s="1091" t="s">
        <v>224</v>
      </c>
      <c r="C33" s="1091">
        <v>144285</v>
      </c>
      <c r="D33" s="1091">
        <v>8011102</v>
      </c>
      <c r="E33" s="1091">
        <v>1102</v>
      </c>
      <c r="F33" s="1091" t="s">
        <v>228</v>
      </c>
      <c r="G33" s="1091">
        <v>12</v>
      </c>
      <c r="H33" s="1092">
        <v>1711315</v>
      </c>
      <c r="I33" s="1092">
        <v>58184.710000000006</v>
      </c>
      <c r="J33" s="1091"/>
      <c r="K33" s="1091" t="s">
        <v>188</v>
      </c>
      <c r="L33" s="1092"/>
      <c r="M33" s="1093"/>
      <c r="S33" s="1091"/>
    </row>
    <row r="34" spans="1:19">
      <c r="A34" s="1091">
        <v>305</v>
      </c>
      <c r="B34" s="1091" t="s">
        <v>229</v>
      </c>
      <c r="C34" s="1091">
        <v>141116</v>
      </c>
      <c r="D34" s="1091">
        <v>3057000</v>
      </c>
      <c r="E34" s="1091">
        <v>7000</v>
      </c>
      <c r="F34" s="1091" t="s">
        <v>230</v>
      </c>
      <c r="G34" s="1091">
        <v>12</v>
      </c>
      <c r="H34" s="1092">
        <v>3393240</v>
      </c>
      <c r="I34" s="1092">
        <v>115370.16</v>
      </c>
      <c r="J34" s="1091"/>
      <c r="K34" s="1091" t="s">
        <v>188</v>
      </c>
      <c r="L34" s="1092"/>
      <c r="M34" s="1093"/>
      <c r="S34" s="1091"/>
    </row>
    <row r="35" spans="1:19">
      <c r="A35" s="1091">
        <v>825</v>
      </c>
      <c r="B35" s="1091" t="s">
        <v>231</v>
      </c>
      <c r="C35" s="1091">
        <v>143574</v>
      </c>
      <c r="D35" s="1091">
        <v>8251106</v>
      </c>
      <c r="E35" s="1091">
        <v>1106</v>
      </c>
      <c r="F35" s="1091" t="s">
        <v>232</v>
      </c>
      <c r="G35" s="1091">
        <v>12</v>
      </c>
      <c r="H35" s="1092">
        <v>4216665</v>
      </c>
      <c r="I35" s="1092">
        <v>143366.61000000002</v>
      </c>
      <c r="J35" s="1091"/>
      <c r="K35" s="1091" t="s">
        <v>188</v>
      </c>
      <c r="L35" s="1092"/>
      <c r="M35" s="1093"/>
      <c r="S35" s="1091"/>
    </row>
    <row r="36" spans="1:19">
      <c r="A36" s="1091">
        <v>825</v>
      </c>
      <c r="B36" s="1091" t="s">
        <v>231</v>
      </c>
      <c r="C36" s="1091">
        <v>136684</v>
      </c>
      <c r="D36" s="1091">
        <v>8251112</v>
      </c>
      <c r="E36" s="1091">
        <v>1112</v>
      </c>
      <c r="F36" s="1091" t="s">
        <v>233</v>
      </c>
      <c r="G36" s="1091">
        <v>12</v>
      </c>
      <c r="H36" s="1092">
        <v>1358140</v>
      </c>
      <c r="I36" s="1092">
        <v>46176.76</v>
      </c>
      <c r="J36" s="1091"/>
      <c r="K36" s="1091" t="s">
        <v>182</v>
      </c>
      <c r="L36" s="1092"/>
      <c r="M36" s="1093"/>
      <c r="S36" s="1091"/>
    </row>
    <row r="37" spans="1:19">
      <c r="A37" s="1091">
        <v>825</v>
      </c>
      <c r="B37" s="1091" t="s">
        <v>231</v>
      </c>
      <c r="C37" s="1091">
        <v>138102</v>
      </c>
      <c r="D37" s="1091">
        <v>8251105</v>
      </c>
      <c r="E37" s="1091">
        <v>1105</v>
      </c>
      <c r="F37" s="1091" t="s">
        <v>234</v>
      </c>
      <c r="G37" s="1091">
        <v>12</v>
      </c>
      <c r="H37" s="1092">
        <v>862422</v>
      </c>
      <c r="I37" s="1092">
        <v>29322.348000000002</v>
      </c>
      <c r="J37" s="1091"/>
      <c r="K37" s="1091" t="s">
        <v>182</v>
      </c>
      <c r="L37" s="1092"/>
      <c r="M37" s="1093"/>
      <c r="S37" s="1091"/>
    </row>
    <row r="38" spans="1:19">
      <c r="A38" s="1091">
        <v>351</v>
      </c>
      <c r="B38" s="1091" t="s">
        <v>235</v>
      </c>
      <c r="C38" s="1091">
        <v>131506</v>
      </c>
      <c r="D38" s="1091">
        <v>3511100</v>
      </c>
      <c r="E38" s="1091">
        <v>1100</v>
      </c>
      <c r="F38" s="1091" t="s">
        <v>236</v>
      </c>
      <c r="G38" s="1091">
        <v>12</v>
      </c>
      <c r="H38" s="1092">
        <v>2787880</v>
      </c>
      <c r="I38" s="1092">
        <v>94787.920000000013</v>
      </c>
      <c r="J38" s="1091"/>
      <c r="K38" s="1091" t="s">
        <v>182</v>
      </c>
      <c r="L38" s="1092"/>
      <c r="M38" s="1093"/>
      <c r="S38" s="1091"/>
    </row>
    <row r="39" spans="1:19">
      <c r="A39" s="1091">
        <v>381</v>
      </c>
      <c r="B39" s="1091" t="s">
        <v>237</v>
      </c>
      <c r="C39" s="1091">
        <v>146204</v>
      </c>
      <c r="D39" s="1091">
        <v>3811101</v>
      </c>
      <c r="E39" s="1091">
        <v>1101</v>
      </c>
      <c r="F39" s="1091" t="s">
        <v>238</v>
      </c>
      <c r="G39" s="1091">
        <v>12</v>
      </c>
      <c r="H39" s="1092">
        <v>1042767.5</v>
      </c>
      <c r="I39" s="1092">
        <v>35454.095000000001</v>
      </c>
      <c r="J39" s="1091"/>
      <c r="K39" s="1091" t="s">
        <v>188</v>
      </c>
      <c r="L39" s="1092"/>
      <c r="M39" s="1093"/>
      <c r="S39" s="1091"/>
    </row>
    <row r="40" spans="1:19">
      <c r="A40" s="1091">
        <v>873</v>
      </c>
      <c r="B40" s="1091" t="s">
        <v>239</v>
      </c>
      <c r="C40" s="1091">
        <v>134765</v>
      </c>
      <c r="D40" s="1091">
        <v>8731105</v>
      </c>
      <c r="E40" s="1091">
        <v>1105</v>
      </c>
      <c r="F40" s="1091" t="s">
        <v>240</v>
      </c>
      <c r="G40" s="1091">
        <v>12</v>
      </c>
      <c r="H40" s="1092">
        <v>711581</v>
      </c>
      <c r="I40" s="1092">
        <v>24193.754000000001</v>
      </c>
      <c r="J40" s="1091"/>
      <c r="K40" s="1091" t="s">
        <v>182</v>
      </c>
      <c r="L40" s="1092"/>
      <c r="M40" s="1093"/>
      <c r="S40" s="1091"/>
    </row>
    <row r="41" spans="1:19">
      <c r="A41" s="1091">
        <v>873</v>
      </c>
      <c r="B41" s="1091" t="s">
        <v>239</v>
      </c>
      <c r="C41" s="1091">
        <v>142378</v>
      </c>
      <c r="D41" s="1091">
        <v>8731109</v>
      </c>
      <c r="E41" s="1091">
        <v>1109</v>
      </c>
      <c r="F41" s="1091" t="s">
        <v>241</v>
      </c>
      <c r="G41" s="1091">
        <v>12</v>
      </c>
      <c r="H41" s="1092">
        <v>788090</v>
      </c>
      <c r="I41" s="1092">
        <v>26795.06</v>
      </c>
      <c r="J41" s="1091"/>
      <c r="K41" s="1091" t="s">
        <v>188</v>
      </c>
      <c r="L41" s="1092"/>
      <c r="M41" s="1093"/>
      <c r="S41" s="1091"/>
    </row>
    <row r="42" spans="1:19">
      <c r="A42" s="1091">
        <v>873</v>
      </c>
      <c r="B42" s="1091" t="s">
        <v>239</v>
      </c>
      <c r="C42" s="1091">
        <v>142793</v>
      </c>
      <c r="D42" s="1091">
        <v>8731108</v>
      </c>
      <c r="E42" s="1091">
        <v>1108</v>
      </c>
      <c r="F42" s="1091" t="s">
        <v>242</v>
      </c>
      <c r="G42" s="1091">
        <v>12</v>
      </c>
      <c r="H42" s="1092">
        <v>779045</v>
      </c>
      <c r="I42" s="1092">
        <v>26487.530000000002</v>
      </c>
      <c r="J42" s="1091"/>
      <c r="K42" s="1091" t="s">
        <v>188</v>
      </c>
      <c r="L42" s="1092"/>
      <c r="M42" s="1093"/>
      <c r="S42" s="1091"/>
    </row>
    <row r="43" spans="1:19">
      <c r="A43" s="1091">
        <v>202</v>
      </c>
      <c r="B43" s="1091" t="s">
        <v>243</v>
      </c>
      <c r="C43" s="1091">
        <v>134643</v>
      </c>
      <c r="D43" s="1091">
        <v>2021103</v>
      </c>
      <c r="E43" s="1091">
        <v>1103</v>
      </c>
      <c r="F43" s="1091" t="s">
        <v>244</v>
      </c>
      <c r="G43" s="1091">
        <v>10</v>
      </c>
      <c r="H43" s="1092" t="s">
        <v>245</v>
      </c>
      <c r="J43" s="1091"/>
      <c r="K43" s="1091" t="s">
        <v>182</v>
      </c>
      <c r="L43" s="1092"/>
      <c r="M43" s="1093"/>
      <c r="S43" s="1091"/>
    </row>
    <row r="44" spans="1:19">
      <c r="A44" s="1091">
        <v>202</v>
      </c>
      <c r="B44" s="1091" t="s">
        <v>243</v>
      </c>
      <c r="C44" s="1091">
        <v>100007</v>
      </c>
      <c r="D44" s="1091">
        <v>2021101</v>
      </c>
      <c r="E44" s="1091">
        <v>1101</v>
      </c>
      <c r="F44" s="1091" t="s">
        <v>246</v>
      </c>
      <c r="G44" s="1091">
        <v>12</v>
      </c>
      <c r="H44" s="1092">
        <v>1745365</v>
      </c>
      <c r="I44" s="1092">
        <v>59342.41</v>
      </c>
      <c r="J44" s="1091"/>
      <c r="K44" s="1091" t="s">
        <v>182</v>
      </c>
      <c r="L44" s="1092"/>
      <c r="M44" s="1093"/>
      <c r="S44" s="1091"/>
    </row>
    <row r="45" spans="1:19">
      <c r="A45" s="1091">
        <v>202</v>
      </c>
      <c r="B45" s="1091" t="s">
        <v>243</v>
      </c>
      <c r="C45" s="1091">
        <v>100006</v>
      </c>
      <c r="D45" s="1091">
        <v>2021100</v>
      </c>
      <c r="E45" s="1091">
        <v>1100</v>
      </c>
      <c r="F45" s="1091" t="s">
        <v>247</v>
      </c>
      <c r="G45" s="1091">
        <v>12</v>
      </c>
      <c r="H45" s="1092">
        <v>1968677</v>
      </c>
      <c r="I45" s="1092">
        <v>66935.018000000011</v>
      </c>
      <c r="J45" s="1091"/>
      <c r="K45" s="1091" t="s">
        <v>182</v>
      </c>
      <c r="L45" s="1092"/>
      <c r="M45" s="1093"/>
      <c r="S45" s="1091"/>
    </row>
    <row r="46" spans="1:19">
      <c r="A46" s="1091">
        <v>202</v>
      </c>
      <c r="B46" s="1091" t="s">
        <v>243</v>
      </c>
      <c r="C46" s="1091">
        <v>141164</v>
      </c>
      <c r="D46" s="1091">
        <v>2024001</v>
      </c>
      <c r="E46" s="1091">
        <v>4001</v>
      </c>
      <c r="F46" s="1091" t="s">
        <v>248</v>
      </c>
      <c r="G46" s="1091">
        <v>12</v>
      </c>
      <c r="H46" s="1092">
        <v>1903450</v>
      </c>
      <c r="I46" s="1092">
        <v>64717.3</v>
      </c>
      <c r="J46" s="1091"/>
      <c r="K46" s="1091" t="s">
        <v>188</v>
      </c>
      <c r="L46" s="1092"/>
      <c r="M46" s="1093"/>
      <c r="S46" s="1091"/>
    </row>
    <row r="47" spans="1:19">
      <c r="A47" s="1091">
        <v>823</v>
      </c>
      <c r="B47" s="1091" t="s">
        <v>249</v>
      </c>
      <c r="C47" s="1091">
        <v>139411</v>
      </c>
      <c r="D47" s="1091">
        <v>8231101</v>
      </c>
      <c r="E47" s="1091">
        <v>1101</v>
      </c>
      <c r="F47" s="1091" t="s">
        <v>250</v>
      </c>
      <c r="G47" s="1091">
        <v>12</v>
      </c>
      <c r="H47" s="1094">
        <v>2035395</v>
      </c>
      <c r="I47" s="1092">
        <v>69203.430000000008</v>
      </c>
      <c r="J47" s="1091"/>
      <c r="K47" s="1091" t="s">
        <v>188</v>
      </c>
      <c r="L47" s="1092"/>
      <c r="M47" s="1093"/>
      <c r="S47" s="1091"/>
    </row>
    <row r="48" spans="1:19">
      <c r="A48" s="1091">
        <v>895</v>
      </c>
      <c r="B48" s="1091" t="s">
        <v>251</v>
      </c>
      <c r="C48" s="1091">
        <v>136676</v>
      </c>
      <c r="D48" s="1091">
        <v>8951100</v>
      </c>
      <c r="E48" s="1091">
        <v>1100</v>
      </c>
      <c r="F48" s="1091" t="s">
        <v>252</v>
      </c>
      <c r="G48" s="1091">
        <v>12</v>
      </c>
      <c r="H48" s="1092">
        <v>1406359</v>
      </c>
      <c r="I48" s="1092">
        <v>47816.206000000006</v>
      </c>
      <c r="J48" s="1091"/>
      <c r="K48" s="1091" t="s">
        <v>182</v>
      </c>
      <c r="L48" s="1092"/>
      <c r="M48" s="1093"/>
      <c r="S48" s="1091"/>
    </row>
    <row r="49" spans="1:19">
      <c r="A49" s="1091">
        <v>895</v>
      </c>
      <c r="B49" s="1091" t="s">
        <v>251</v>
      </c>
      <c r="C49" s="1091">
        <v>141935</v>
      </c>
      <c r="D49" s="1091">
        <v>8951101</v>
      </c>
      <c r="E49" s="1091">
        <v>1101</v>
      </c>
      <c r="F49" s="1091" t="s">
        <v>253</v>
      </c>
      <c r="G49" s="1091">
        <v>12</v>
      </c>
      <c r="H49" s="1092">
        <v>974045</v>
      </c>
      <c r="I49" s="1092">
        <v>33117.53</v>
      </c>
      <c r="J49" s="1091"/>
      <c r="K49" s="1091" t="s">
        <v>188</v>
      </c>
      <c r="L49" s="1092"/>
      <c r="M49" s="1093"/>
      <c r="S49" s="1091"/>
    </row>
    <row r="50" spans="1:19">
      <c r="A50" s="1091">
        <v>896</v>
      </c>
      <c r="B50" s="1091" t="s">
        <v>254</v>
      </c>
      <c r="C50" s="1091">
        <v>138450</v>
      </c>
      <c r="D50" s="1091">
        <v>8961100</v>
      </c>
      <c r="E50" s="1091">
        <v>1100</v>
      </c>
      <c r="F50" s="1091" t="s">
        <v>255</v>
      </c>
      <c r="G50" s="1091">
        <v>12</v>
      </c>
      <c r="H50" s="1092">
        <v>1267622</v>
      </c>
      <c r="I50" s="1092">
        <v>43099.148000000001</v>
      </c>
      <c r="J50" s="1091"/>
      <c r="K50" s="1091" t="s">
        <v>182</v>
      </c>
      <c r="L50" s="1092"/>
      <c r="M50" s="1093"/>
      <c r="S50" s="1091"/>
    </row>
    <row r="51" spans="1:19">
      <c r="A51" s="1091">
        <v>896</v>
      </c>
      <c r="B51" s="1091" t="s">
        <v>254</v>
      </c>
      <c r="C51" s="1091">
        <v>134766</v>
      </c>
      <c r="D51" s="1091">
        <v>8961103</v>
      </c>
      <c r="E51" s="1091">
        <v>1103</v>
      </c>
      <c r="F51" s="1091" t="s">
        <v>256</v>
      </c>
      <c r="G51" s="1091">
        <v>12</v>
      </c>
      <c r="H51" s="1092">
        <v>729208</v>
      </c>
      <c r="I51" s="1092">
        <v>24793.072</v>
      </c>
      <c r="J51" s="1091"/>
      <c r="K51" s="1091" t="s">
        <v>182</v>
      </c>
      <c r="L51" s="1092"/>
      <c r="M51" s="1093"/>
      <c r="S51" s="1091"/>
    </row>
    <row r="52" spans="1:19">
      <c r="A52" s="1091">
        <v>908</v>
      </c>
      <c r="B52" s="1091" t="s">
        <v>257</v>
      </c>
      <c r="C52" s="1091">
        <v>139740</v>
      </c>
      <c r="D52" s="1091">
        <v>9081108</v>
      </c>
      <c r="E52" s="1091">
        <v>1108</v>
      </c>
      <c r="F52" s="1091" t="s">
        <v>258</v>
      </c>
      <c r="G52" s="1091">
        <v>12</v>
      </c>
      <c r="H52" s="1092">
        <v>819105</v>
      </c>
      <c r="I52" s="1092">
        <v>27849.570000000003</v>
      </c>
      <c r="J52" s="1091"/>
      <c r="K52" s="1091" t="s">
        <v>188</v>
      </c>
      <c r="L52" s="1092"/>
      <c r="M52" s="1093"/>
      <c r="S52" s="1091"/>
    </row>
    <row r="53" spans="1:19">
      <c r="A53" s="1091">
        <v>908</v>
      </c>
      <c r="B53" s="1091" t="s">
        <v>257</v>
      </c>
      <c r="C53" s="1091">
        <v>139741</v>
      </c>
      <c r="D53" s="1091">
        <v>9081100</v>
      </c>
      <c r="E53" s="1091">
        <v>1100</v>
      </c>
      <c r="F53" s="1091" t="s">
        <v>259</v>
      </c>
      <c r="G53" s="1091">
        <v>12</v>
      </c>
      <c r="H53" s="1092">
        <v>2290270</v>
      </c>
      <c r="I53" s="1092">
        <v>77869.180000000008</v>
      </c>
      <c r="J53" s="1091"/>
      <c r="K53" s="1091" t="s">
        <v>188</v>
      </c>
      <c r="L53" s="1092"/>
      <c r="M53" s="1093"/>
      <c r="S53" s="1091"/>
    </row>
    <row r="54" spans="1:19">
      <c r="A54" s="1091">
        <v>908</v>
      </c>
      <c r="B54" s="1091" t="s">
        <v>257</v>
      </c>
      <c r="C54" s="1091">
        <v>139758</v>
      </c>
      <c r="D54" s="1091">
        <v>9081104</v>
      </c>
      <c r="E54" s="1091">
        <v>1104</v>
      </c>
      <c r="F54" s="1091" t="s">
        <v>260</v>
      </c>
      <c r="G54" s="1091">
        <v>12</v>
      </c>
      <c r="H54" s="1092">
        <v>1514035</v>
      </c>
      <c r="I54" s="1092">
        <v>51477.19</v>
      </c>
      <c r="J54" s="1091"/>
      <c r="K54" s="1091" t="s">
        <v>188</v>
      </c>
      <c r="L54" s="1092"/>
      <c r="M54" s="1093"/>
      <c r="S54" s="1091"/>
    </row>
    <row r="55" spans="1:19">
      <c r="A55" s="1091">
        <v>908</v>
      </c>
      <c r="B55" s="1091" t="s">
        <v>257</v>
      </c>
      <c r="C55" s="1091">
        <v>139759</v>
      </c>
      <c r="D55" s="1091">
        <v>9081103</v>
      </c>
      <c r="E55" s="1091">
        <v>1103</v>
      </c>
      <c r="F55" s="1091" t="s">
        <v>261</v>
      </c>
      <c r="G55" s="1091">
        <v>12</v>
      </c>
      <c r="H55" s="1092">
        <v>1438510</v>
      </c>
      <c r="I55" s="1092">
        <v>48909.340000000004</v>
      </c>
      <c r="J55" s="1091"/>
      <c r="K55" s="1091" t="s">
        <v>188</v>
      </c>
      <c r="L55" s="1092"/>
      <c r="M55" s="1093"/>
      <c r="S55" s="1091"/>
    </row>
    <row r="56" spans="1:19">
      <c r="A56" s="1091">
        <v>908</v>
      </c>
      <c r="B56" s="1091" t="s">
        <v>257</v>
      </c>
      <c r="C56" s="1091">
        <v>139760</v>
      </c>
      <c r="D56" s="1091">
        <v>9081102</v>
      </c>
      <c r="E56" s="1091">
        <v>1102</v>
      </c>
      <c r="F56" s="1091" t="s">
        <v>262</v>
      </c>
      <c r="G56" s="1091">
        <v>12</v>
      </c>
      <c r="H56" s="1092">
        <v>1184850</v>
      </c>
      <c r="I56" s="1092">
        <v>40284.9</v>
      </c>
      <c r="J56" s="1091"/>
      <c r="K56" s="1091" t="s">
        <v>188</v>
      </c>
      <c r="L56" s="1092"/>
      <c r="M56" s="1093"/>
      <c r="S56" s="1091"/>
    </row>
    <row r="57" spans="1:19">
      <c r="A57" s="1091">
        <v>908</v>
      </c>
      <c r="B57" s="1091" t="s">
        <v>257</v>
      </c>
      <c r="C57" s="1091">
        <v>139761</v>
      </c>
      <c r="D57" s="1091">
        <v>9081101</v>
      </c>
      <c r="E57" s="1091">
        <v>1101</v>
      </c>
      <c r="F57" s="1091" t="s">
        <v>263</v>
      </c>
      <c r="G57" s="1091">
        <v>12</v>
      </c>
      <c r="H57" s="1092">
        <v>907180</v>
      </c>
      <c r="I57" s="1092">
        <v>30844.120000000003</v>
      </c>
      <c r="J57" s="1091"/>
      <c r="K57" s="1091" t="s">
        <v>188</v>
      </c>
      <c r="L57" s="1092"/>
      <c r="M57" s="1093"/>
      <c r="S57" s="1091"/>
    </row>
    <row r="58" spans="1:19">
      <c r="A58" s="1091">
        <v>908</v>
      </c>
      <c r="B58" s="1091" t="s">
        <v>257</v>
      </c>
      <c r="C58" s="1091">
        <v>139745</v>
      </c>
      <c r="D58" s="1091">
        <v>9081105</v>
      </c>
      <c r="E58" s="1091">
        <v>1105</v>
      </c>
      <c r="F58" s="1091" t="s">
        <v>264</v>
      </c>
      <c r="G58" s="1091">
        <v>11</v>
      </c>
      <c r="H58" s="1092">
        <v>725495</v>
      </c>
      <c r="I58" s="1092">
        <v>24666.83</v>
      </c>
      <c r="J58" s="1091"/>
      <c r="K58" s="1091" t="s">
        <v>188</v>
      </c>
      <c r="L58" s="1092"/>
      <c r="M58" s="1093"/>
      <c r="S58" s="1091"/>
    </row>
    <row r="59" spans="1:19">
      <c r="A59" s="1091">
        <v>840</v>
      </c>
      <c r="B59" s="1091" t="s">
        <v>265</v>
      </c>
      <c r="C59" s="1091">
        <v>113992</v>
      </c>
      <c r="D59" s="1091">
        <v>8401100</v>
      </c>
      <c r="E59" s="1091">
        <v>1100</v>
      </c>
      <c r="F59" s="1091" t="s">
        <v>266</v>
      </c>
      <c r="G59" s="1091">
        <v>12</v>
      </c>
      <c r="H59" s="1092">
        <v>6861820</v>
      </c>
      <c r="I59" s="1092">
        <v>233301.88</v>
      </c>
      <c r="J59" s="1091"/>
      <c r="K59" s="1091" t="s">
        <v>182</v>
      </c>
      <c r="L59" s="1092"/>
      <c r="M59" s="1093"/>
      <c r="S59" s="1091"/>
    </row>
    <row r="60" spans="1:19">
      <c r="A60" s="1091">
        <v>840</v>
      </c>
      <c r="B60" s="1091" t="s">
        <v>265</v>
      </c>
      <c r="C60" s="1091">
        <v>141109</v>
      </c>
      <c r="D60" s="1091">
        <v>8404003</v>
      </c>
      <c r="E60" s="1091">
        <v>4003</v>
      </c>
      <c r="F60" s="1091" t="s">
        <v>267</v>
      </c>
      <c r="G60" s="1091">
        <v>12</v>
      </c>
      <c r="H60" s="1092">
        <v>911395</v>
      </c>
      <c r="I60" s="1092">
        <v>30987.430000000004</v>
      </c>
      <c r="J60" s="1091"/>
      <c r="K60" s="1091" t="s">
        <v>188</v>
      </c>
      <c r="L60" s="1092"/>
      <c r="M60" s="1093"/>
      <c r="S60" s="1091"/>
    </row>
    <row r="61" spans="1:19">
      <c r="A61" s="1091">
        <v>331</v>
      </c>
      <c r="B61" s="1091" t="s">
        <v>268</v>
      </c>
      <c r="C61" s="1091">
        <v>134970</v>
      </c>
      <c r="D61" s="1091">
        <v>3311107</v>
      </c>
      <c r="E61" s="1091">
        <v>1107</v>
      </c>
      <c r="F61" s="1091" t="s">
        <v>269</v>
      </c>
      <c r="G61" s="1091">
        <v>12</v>
      </c>
      <c r="H61" s="1092">
        <v>815881</v>
      </c>
      <c r="I61" s="1092">
        <v>27739.954000000002</v>
      </c>
      <c r="J61" s="1091"/>
      <c r="K61" s="1091" t="s">
        <v>182</v>
      </c>
      <c r="L61" s="1092"/>
      <c r="M61" s="1093"/>
      <c r="S61" s="1091"/>
    </row>
    <row r="62" spans="1:19">
      <c r="A62" s="1091">
        <v>331</v>
      </c>
      <c r="B62" s="1091" t="s">
        <v>268</v>
      </c>
      <c r="C62" s="1091">
        <v>134269</v>
      </c>
      <c r="D62" s="1091">
        <v>3311106</v>
      </c>
      <c r="E62" s="1091">
        <v>1106</v>
      </c>
      <c r="F62" s="1091" t="s">
        <v>270</v>
      </c>
      <c r="G62" s="1091">
        <v>12</v>
      </c>
      <c r="H62" s="1092">
        <v>2422559</v>
      </c>
      <c r="I62" s="1092">
        <v>82367.006000000008</v>
      </c>
      <c r="J62" s="1091"/>
      <c r="K62" s="1091" t="s">
        <v>182</v>
      </c>
      <c r="L62" s="1092"/>
      <c r="M62" s="1093"/>
      <c r="S62" s="1091"/>
    </row>
    <row r="63" spans="1:19">
      <c r="A63" s="1091">
        <v>306</v>
      </c>
      <c r="B63" s="1091" t="s">
        <v>271</v>
      </c>
      <c r="C63" s="1091">
        <v>101706</v>
      </c>
      <c r="D63" s="1091">
        <v>3061100</v>
      </c>
      <c r="E63" s="1091">
        <v>1100</v>
      </c>
      <c r="F63" s="1091" t="s">
        <v>272</v>
      </c>
      <c r="G63" s="1091">
        <v>12</v>
      </c>
      <c r="H63" s="1092">
        <v>4542342</v>
      </c>
      <c r="I63" s="1092">
        <v>154439.628</v>
      </c>
      <c r="J63" s="1091"/>
      <c r="K63" s="1091" t="s">
        <v>182</v>
      </c>
      <c r="L63" s="1092"/>
      <c r="M63" s="1093"/>
      <c r="S63" s="1091"/>
    </row>
    <row r="64" spans="1:19">
      <c r="A64" s="1091">
        <v>306</v>
      </c>
      <c r="B64" s="1091" t="s">
        <v>271</v>
      </c>
      <c r="C64" s="1091">
        <v>139829</v>
      </c>
      <c r="D64" s="1091">
        <v>3061103</v>
      </c>
      <c r="E64" s="1091">
        <v>1103</v>
      </c>
      <c r="F64" s="1091" t="s">
        <v>273</v>
      </c>
      <c r="G64" s="1091">
        <v>12</v>
      </c>
      <c r="H64" s="1092">
        <v>545000</v>
      </c>
      <c r="I64" s="1092">
        <v>18530</v>
      </c>
      <c r="J64" s="1091"/>
      <c r="K64" s="1091" t="s">
        <v>188</v>
      </c>
      <c r="L64" s="1092"/>
      <c r="M64" s="1093"/>
      <c r="S64" s="1091"/>
    </row>
    <row r="65" spans="1:19">
      <c r="A65" s="1091">
        <v>909</v>
      </c>
      <c r="B65" s="1091" t="s">
        <v>274</v>
      </c>
      <c r="C65" s="1091">
        <v>112096</v>
      </c>
      <c r="D65" s="1091">
        <v>9091103</v>
      </c>
      <c r="E65" s="1091">
        <v>1103</v>
      </c>
      <c r="F65" s="1091" t="s">
        <v>275</v>
      </c>
      <c r="G65" s="1091">
        <v>12</v>
      </c>
      <c r="H65" s="1092">
        <v>2343307</v>
      </c>
      <c r="I65" s="1092">
        <v>79672.438000000009</v>
      </c>
      <c r="J65" s="1091"/>
      <c r="K65" s="1091" t="s">
        <v>182</v>
      </c>
      <c r="L65" s="1092"/>
      <c r="M65" s="1093"/>
      <c r="S65" s="1091"/>
    </row>
    <row r="66" spans="1:19">
      <c r="A66" s="1091">
        <v>909</v>
      </c>
      <c r="B66" s="1091" t="s">
        <v>274</v>
      </c>
      <c r="C66" s="1091">
        <v>112095</v>
      </c>
      <c r="D66" s="1091">
        <v>9091100</v>
      </c>
      <c r="E66" s="1091">
        <v>1100</v>
      </c>
      <c r="F66" s="1091" t="s">
        <v>276</v>
      </c>
      <c r="G66" s="1091">
        <v>12</v>
      </c>
      <c r="H66" s="1092">
        <v>2514702</v>
      </c>
      <c r="I66" s="1092">
        <v>85499.868000000002</v>
      </c>
      <c r="J66" s="1091"/>
      <c r="K66" s="1091" t="s">
        <v>182</v>
      </c>
      <c r="L66" s="1092"/>
      <c r="M66" s="1093"/>
      <c r="S66" s="1091"/>
    </row>
    <row r="67" spans="1:19">
      <c r="A67" s="1091">
        <v>909</v>
      </c>
      <c r="B67" s="1091" t="s">
        <v>274</v>
      </c>
      <c r="C67" s="1091">
        <v>112098</v>
      </c>
      <c r="D67" s="1091">
        <v>9091105</v>
      </c>
      <c r="E67" s="1091">
        <v>1105</v>
      </c>
      <c r="F67" s="1091" t="s">
        <v>277</v>
      </c>
      <c r="G67" s="1091">
        <v>12</v>
      </c>
      <c r="H67" s="1092">
        <v>2162733</v>
      </c>
      <c r="I67" s="1092">
        <v>73532.922000000006</v>
      </c>
      <c r="J67" s="1091"/>
      <c r="K67" s="1091" t="s">
        <v>182</v>
      </c>
      <c r="L67" s="1092"/>
      <c r="M67" s="1093"/>
      <c r="S67" s="1091"/>
    </row>
    <row r="68" spans="1:19">
      <c r="A68" s="1091">
        <v>841</v>
      </c>
      <c r="B68" s="1091" t="s">
        <v>278</v>
      </c>
      <c r="C68" s="1091">
        <v>131629</v>
      </c>
      <c r="D68" s="1091">
        <v>8411100</v>
      </c>
      <c r="E68" s="1091">
        <v>1100</v>
      </c>
      <c r="F68" s="1091" t="s">
        <v>279</v>
      </c>
      <c r="G68" s="1091">
        <v>12</v>
      </c>
      <c r="H68" s="1092">
        <v>1331650</v>
      </c>
      <c r="I68" s="1092">
        <v>45276.100000000006</v>
      </c>
      <c r="J68" s="1091"/>
      <c r="K68" s="1091" t="s">
        <v>182</v>
      </c>
      <c r="L68" s="1092"/>
      <c r="M68" s="1093"/>
      <c r="S68" s="1091"/>
    </row>
    <row r="69" spans="1:19">
      <c r="A69" s="1091">
        <v>831</v>
      </c>
      <c r="B69" s="1091" t="s">
        <v>280</v>
      </c>
      <c r="C69" s="1091">
        <v>138277</v>
      </c>
      <c r="D69" s="1091">
        <v>8311105</v>
      </c>
      <c r="E69" s="1091">
        <v>1105</v>
      </c>
      <c r="F69" s="1091" t="s">
        <v>281</v>
      </c>
      <c r="G69" s="1091">
        <v>12</v>
      </c>
      <c r="H69" s="1092">
        <v>1197630</v>
      </c>
      <c r="I69" s="1092">
        <v>40719.420000000006</v>
      </c>
      <c r="J69" s="1091"/>
      <c r="K69" s="1091" t="s">
        <v>188</v>
      </c>
      <c r="L69" s="1092"/>
      <c r="M69" s="1093"/>
      <c r="S69" s="1091"/>
    </row>
    <row r="70" spans="1:19">
      <c r="A70" s="1091">
        <v>831</v>
      </c>
      <c r="B70" s="1091" t="s">
        <v>280</v>
      </c>
      <c r="C70" s="1091">
        <v>136071</v>
      </c>
      <c r="D70" s="1091">
        <v>8311104</v>
      </c>
      <c r="E70" s="1091">
        <v>1104</v>
      </c>
      <c r="F70" s="1091" t="s">
        <v>282</v>
      </c>
      <c r="G70" s="1091">
        <v>12</v>
      </c>
      <c r="H70" s="1092">
        <v>979722</v>
      </c>
      <c r="I70" s="1092">
        <v>33310.548000000003</v>
      </c>
      <c r="J70" s="1091"/>
      <c r="K70" s="1091" t="s">
        <v>182</v>
      </c>
      <c r="L70" s="1092"/>
      <c r="M70" s="1093"/>
      <c r="S70" s="1091"/>
    </row>
    <row r="71" spans="1:19">
      <c r="A71" s="1091">
        <v>831</v>
      </c>
      <c r="B71" s="1091" t="s">
        <v>280</v>
      </c>
      <c r="C71" s="1091">
        <v>132133</v>
      </c>
      <c r="D71" s="1091">
        <v>8311103</v>
      </c>
      <c r="E71" s="1091">
        <v>1103</v>
      </c>
      <c r="F71" s="1091" t="s">
        <v>283</v>
      </c>
      <c r="G71" s="1091">
        <v>12</v>
      </c>
      <c r="H71" s="1092">
        <v>1987876</v>
      </c>
      <c r="I71" s="1092">
        <v>67587.784</v>
      </c>
      <c r="J71" s="1091"/>
      <c r="K71" s="1091" t="s">
        <v>182</v>
      </c>
      <c r="L71" s="1092"/>
      <c r="M71" s="1093"/>
      <c r="S71" s="1091"/>
    </row>
    <row r="72" spans="1:19">
      <c r="A72" s="1091">
        <v>830</v>
      </c>
      <c r="B72" s="1091" t="s">
        <v>284</v>
      </c>
      <c r="C72" s="1091">
        <v>146055</v>
      </c>
      <c r="D72" s="1091">
        <v>8301102</v>
      </c>
      <c r="E72" s="1091">
        <v>1102</v>
      </c>
      <c r="F72" s="1091" t="s">
        <v>285</v>
      </c>
      <c r="G72" s="1091">
        <v>12</v>
      </c>
      <c r="H72" s="1092">
        <v>2247087.5</v>
      </c>
      <c r="I72" s="1092">
        <v>76400.975000000006</v>
      </c>
      <c r="J72" s="1091"/>
      <c r="K72" s="1091" t="s">
        <v>188</v>
      </c>
      <c r="L72" s="1092"/>
      <c r="M72" s="1093"/>
      <c r="S72" s="1091"/>
    </row>
    <row r="73" spans="1:19">
      <c r="A73" s="1091">
        <v>830</v>
      </c>
      <c r="B73" s="1091" t="s">
        <v>284</v>
      </c>
      <c r="C73" s="1091">
        <v>146057</v>
      </c>
      <c r="D73" s="1091">
        <v>8301111</v>
      </c>
      <c r="E73" s="1091">
        <v>1111</v>
      </c>
      <c r="F73" s="1091" t="s">
        <v>286</v>
      </c>
      <c r="G73" s="1091">
        <v>12</v>
      </c>
      <c r="H73" s="1092">
        <v>1647862.5</v>
      </c>
      <c r="I73" s="1092">
        <v>56027.325000000004</v>
      </c>
      <c r="J73" s="1091"/>
      <c r="K73" s="1091" t="s">
        <v>188</v>
      </c>
      <c r="L73" s="1092"/>
      <c r="M73" s="1093"/>
      <c r="S73" s="1091"/>
    </row>
    <row r="74" spans="1:19">
      <c r="A74" s="1091">
        <v>830</v>
      </c>
      <c r="B74" s="1091" t="s">
        <v>284</v>
      </c>
      <c r="C74" s="1091">
        <v>146056</v>
      </c>
      <c r="D74" s="1091">
        <v>8301106</v>
      </c>
      <c r="E74" s="1091">
        <v>1106</v>
      </c>
      <c r="F74" s="1091" t="s">
        <v>287</v>
      </c>
      <c r="G74" s="1091">
        <v>12</v>
      </c>
      <c r="H74" s="1092">
        <v>495190</v>
      </c>
      <c r="I74" s="1092">
        <v>16836.460000000003</v>
      </c>
      <c r="J74" s="1091"/>
      <c r="K74" s="1091" t="s">
        <v>188</v>
      </c>
      <c r="L74" s="1092"/>
      <c r="M74" s="1093"/>
      <c r="S74" s="1091"/>
    </row>
    <row r="75" spans="1:19">
      <c r="A75" s="1091">
        <v>878</v>
      </c>
      <c r="B75" s="1091" t="s">
        <v>288</v>
      </c>
      <c r="C75" s="1091">
        <v>134859</v>
      </c>
      <c r="D75" s="1091">
        <v>8781110</v>
      </c>
      <c r="E75" s="1091">
        <v>1110</v>
      </c>
      <c r="F75" s="1091" t="s">
        <v>289</v>
      </c>
      <c r="G75" s="1091">
        <v>12</v>
      </c>
      <c r="H75" s="1092">
        <v>155461</v>
      </c>
      <c r="I75" s="1092">
        <v>5285.674</v>
      </c>
      <c r="J75" s="1091"/>
      <c r="K75" s="1091" t="s">
        <v>182</v>
      </c>
      <c r="L75" s="1092"/>
      <c r="M75" s="1093"/>
      <c r="S75" s="1091"/>
    </row>
    <row r="76" spans="1:19">
      <c r="A76" s="1091">
        <v>878</v>
      </c>
      <c r="B76" s="1091" t="s">
        <v>288</v>
      </c>
      <c r="C76" s="1091">
        <v>146735</v>
      </c>
      <c r="D76" s="1091">
        <v>8781116</v>
      </c>
      <c r="E76" s="1091">
        <v>1116</v>
      </c>
      <c r="F76" s="1091" t="s">
        <v>290</v>
      </c>
      <c r="G76" s="1091">
        <v>12</v>
      </c>
      <c r="H76" s="1092">
        <v>834895</v>
      </c>
      <c r="I76" s="1092">
        <v>28386.43</v>
      </c>
      <c r="J76" s="1091"/>
      <c r="K76" s="1091" t="s">
        <v>188</v>
      </c>
      <c r="L76" s="1092"/>
      <c r="M76" s="1093"/>
      <c r="S76" s="1091"/>
    </row>
    <row r="77" spans="1:19">
      <c r="A77" s="1091">
        <v>878</v>
      </c>
      <c r="B77" s="1091" t="s">
        <v>288</v>
      </c>
      <c r="C77" s="1091">
        <v>146734</v>
      </c>
      <c r="D77" s="1091">
        <v>8781115</v>
      </c>
      <c r="E77" s="1091">
        <v>1115</v>
      </c>
      <c r="F77" s="1091" t="s">
        <v>291</v>
      </c>
      <c r="G77" s="1091">
        <v>12</v>
      </c>
      <c r="H77" s="1092">
        <v>1502160</v>
      </c>
      <c r="I77" s="1092">
        <v>51073.440000000002</v>
      </c>
      <c r="J77" s="1091"/>
      <c r="K77" s="1091" t="s">
        <v>188</v>
      </c>
      <c r="L77" s="1092"/>
      <c r="M77" s="1093"/>
      <c r="S77" s="1091"/>
    </row>
    <row r="78" spans="1:19">
      <c r="A78" s="1091">
        <v>878</v>
      </c>
      <c r="B78" s="1091" t="s">
        <v>288</v>
      </c>
      <c r="C78" s="1091">
        <v>146732</v>
      </c>
      <c r="D78" s="1091">
        <v>8781114</v>
      </c>
      <c r="E78" s="1091">
        <v>1114</v>
      </c>
      <c r="F78" s="1091" t="s">
        <v>292</v>
      </c>
      <c r="G78" s="1091">
        <v>12</v>
      </c>
      <c r="H78" s="1092">
        <v>1077635</v>
      </c>
      <c r="I78" s="1092">
        <v>36639.590000000004</v>
      </c>
      <c r="J78" s="1091"/>
      <c r="K78" s="1091" t="s">
        <v>188</v>
      </c>
      <c r="L78" s="1092"/>
      <c r="M78" s="1093"/>
      <c r="S78" s="1091"/>
    </row>
    <row r="79" spans="1:19">
      <c r="A79" s="1091">
        <v>878</v>
      </c>
      <c r="B79" s="1091" t="s">
        <v>288</v>
      </c>
      <c r="C79" s="1091">
        <v>147362</v>
      </c>
      <c r="D79" s="1091">
        <v>8781117</v>
      </c>
      <c r="E79" s="1091">
        <v>1117</v>
      </c>
      <c r="F79" s="1091" t="s">
        <v>293</v>
      </c>
      <c r="G79" s="1091">
        <v>12</v>
      </c>
      <c r="H79" s="1092">
        <v>2129792.5</v>
      </c>
      <c r="I79" s="1092">
        <v>72412.945000000007</v>
      </c>
      <c r="J79" s="1091"/>
      <c r="K79" s="1091" t="s">
        <v>188</v>
      </c>
      <c r="L79" s="1092"/>
      <c r="M79" s="1093"/>
      <c r="S79" s="1091"/>
    </row>
    <row r="80" spans="1:19">
      <c r="A80" s="1091">
        <v>371</v>
      </c>
      <c r="B80" s="1091" t="s">
        <v>294</v>
      </c>
      <c r="C80" s="1091">
        <v>106666</v>
      </c>
      <c r="D80" s="1091">
        <v>3711103</v>
      </c>
      <c r="E80" s="1091">
        <v>1103</v>
      </c>
      <c r="F80" s="1091" t="s">
        <v>295</v>
      </c>
      <c r="G80" s="1091">
        <v>12</v>
      </c>
      <c r="H80" s="1092">
        <v>1597977</v>
      </c>
      <c r="I80" s="1092">
        <v>54331.218000000001</v>
      </c>
      <c r="J80" s="1091"/>
      <c r="K80" s="1091" t="s">
        <v>182</v>
      </c>
      <c r="L80" s="1092"/>
      <c r="M80" s="1093"/>
      <c r="S80" s="1091"/>
    </row>
    <row r="81" spans="1:19">
      <c r="A81" s="1091">
        <v>371</v>
      </c>
      <c r="B81" s="1091" t="s">
        <v>294</v>
      </c>
      <c r="C81" s="1091">
        <v>135502</v>
      </c>
      <c r="D81" s="1091">
        <v>3711110</v>
      </c>
      <c r="E81" s="1091">
        <v>1110</v>
      </c>
      <c r="F81" s="1091" t="s">
        <v>296</v>
      </c>
      <c r="G81" s="1091">
        <v>12</v>
      </c>
      <c r="H81" s="1092">
        <v>1443547</v>
      </c>
      <c r="I81" s="1092">
        <v>49080.598000000005</v>
      </c>
      <c r="J81" s="1091"/>
      <c r="K81" s="1091" t="s">
        <v>182</v>
      </c>
      <c r="L81" s="1092"/>
      <c r="M81" s="1093"/>
      <c r="S81" s="1091"/>
    </row>
    <row r="82" spans="1:19">
      <c r="A82" s="1091">
        <v>371</v>
      </c>
      <c r="B82" s="1091" t="s">
        <v>294</v>
      </c>
      <c r="C82" s="1091">
        <v>141141</v>
      </c>
      <c r="D82" s="1091">
        <v>3711111</v>
      </c>
      <c r="E82" s="1091">
        <v>1111</v>
      </c>
      <c r="F82" s="1091" t="s">
        <v>297</v>
      </c>
      <c r="G82" s="1091">
        <v>12</v>
      </c>
      <c r="H82" s="1092">
        <v>1989270</v>
      </c>
      <c r="I82" s="1092">
        <v>67635.180000000008</v>
      </c>
      <c r="J82" s="1091"/>
      <c r="K82" s="1091" t="s">
        <v>188</v>
      </c>
      <c r="L82" s="1092"/>
      <c r="M82" s="1093"/>
      <c r="S82" s="1091"/>
    </row>
    <row r="83" spans="1:19">
      <c r="A83" s="1091">
        <v>838</v>
      </c>
      <c r="B83" s="1091" t="s">
        <v>298</v>
      </c>
      <c r="C83" s="1091">
        <v>130316</v>
      </c>
      <c r="D83" s="1091">
        <v>8381101</v>
      </c>
      <c r="E83" s="1091">
        <v>1101</v>
      </c>
      <c r="F83" s="1091" t="s">
        <v>299</v>
      </c>
      <c r="G83" s="1091">
        <v>12</v>
      </c>
      <c r="H83" s="1092">
        <v>1064822</v>
      </c>
      <c r="I83" s="1092">
        <v>36203.948000000004</v>
      </c>
      <c r="J83" s="1091"/>
      <c r="K83" s="1091" t="s">
        <v>182</v>
      </c>
      <c r="L83" s="1092"/>
      <c r="M83" s="1093"/>
      <c r="S83" s="1091"/>
    </row>
    <row r="84" spans="1:19">
      <c r="A84" s="1091">
        <v>838</v>
      </c>
      <c r="B84" s="1091" t="s">
        <v>298</v>
      </c>
      <c r="C84" s="1091">
        <v>134373</v>
      </c>
      <c r="D84" s="1091">
        <v>8381105</v>
      </c>
      <c r="E84" s="1091">
        <v>1105</v>
      </c>
      <c r="F84" s="1091" t="s">
        <v>300</v>
      </c>
      <c r="G84" s="1091">
        <v>12</v>
      </c>
      <c r="H84" s="1092">
        <v>931810</v>
      </c>
      <c r="I84" s="1092">
        <v>31681.54</v>
      </c>
      <c r="J84" s="1091"/>
      <c r="K84" s="1091" t="s">
        <v>182</v>
      </c>
      <c r="L84" s="1092"/>
      <c r="M84" s="1093"/>
      <c r="S84" s="1091"/>
    </row>
    <row r="85" spans="1:19">
      <c r="A85" s="1091">
        <v>838</v>
      </c>
      <c r="B85" s="1091" t="s">
        <v>298</v>
      </c>
      <c r="C85" s="1091">
        <v>131827</v>
      </c>
      <c r="D85" s="1091">
        <v>8381100</v>
      </c>
      <c r="E85" s="1091">
        <v>1100</v>
      </c>
      <c r="F85" s="1091" t="s">
        <v>301</v>
      </c>
      <c r="G85" s="1091">
        <v>12</v>
      </c>
      <c r="H85" s="1092">
        <v>954804</v>
      </c>
      <c r="I85" s="1092">
        <v>32463.336000000003</v>
      </c>
      <c r="J85" s="1091"/>
      <c r="K85" s="1091" t="s">
        <v>182</v>
      </c>
      <c r="L85" s="1092"/>
      <c r="M85" s="1093"/>
      <c r="S85" s="1091"/>
    </row>
    <row r="86" spans="1:19">
      <c r="A86" s="1091">
        <v>838</v>
      </c>
      <c r="B86" s="1091" t="s">
        <v>298</v>
      </c>
      <c r="C86" s="1091">
        <v>146958</v>
      </c>
      <c r="D86" s="1091">
        <v>8381107</v>
      </c>
      <c r="E86" s="1091">
        <v>1107</v>
      </c>
      <c r="F86" s="1091" t="s">
        <v>302</v>
      </c>
      <c r="G86" s="1091">
        <v>12</v>
      </c>
      <c r="H86" s="1092">
        <v>756405</v>
      </c>
      <c r="I86" s="1092">
        <v>25717.77</v>
      </c>
      <c r="J86" s="1091"/>
      <c r="K86" s="1091" t="s">
        <v>188</v>
      </c>
      <c r="L86" s="1092"/>
      <c r="M86" s="1093"/>
      <c r="S86" s="1091"/>
    </row>
    <row r="87" spans="1:19">
      <c r="A87" s="1091">
        <v>332</v>
      </c>
      <c r="B87" s="1091" t="s">
        <v>303</v>
      </c>
      <c r="C87" s="1091">
        <v>147479</v>
      </c>
      <c r="D87" s="1091">
        <v>3321102</v>
      </c>
      <c r="E87" s="1091">
        <v>1102</v>
      </c>
      <c r="F87" s="1091" t="s">
        <v>304</v>
      </c>
      <c r="G87" s="1091">
        <v>12</v>
      </c>
      <c r="H87" s="1092">
        <v>1100000</v>
      </c>
      <c r="I87" s="1092">
        <v>37400</v>
      </c>
      <c r="J87" s="1091"/>
      <c r="K87" s="1091" t="s">
        <v>188</v>
      </c>
      <c r="L87" s="1092"/>
      <c r="M87" s="1093"/>
      <c r="S87" s="1091"/>
    </row>
    <row r="88" spans="1:19">
      <c r="A88" s="1091">
        <v>332</v>
      </c>
      <c r="B88" s="1091" t="s">
        <v>303</v>
      </c>
      <c r="C88" s="1091">
        <v>134768</v>
      </c>
      <c r="D88" s="1091">
        <v>3321104</v>
      </c>
      <c r="E88" s="1091">
        <v>1104</v>
      </c>
      <c r="F88" s="1091" t="s">
        <v>305</v>
      </c>
      <c r="G88" s="1091">
        <v>12</v>
      </c>
      <c r="H88" s="1092">
        <v>877993</v>
      </c>
      <c r="I88" s="1092">
        <v>29851.762000000002</v>
      </c>
      <c r="J88" s="1091"/>
      <c r="K88" s="1091" t="s">
        <v>182</v>
      </c>
      <c r="L88" s="1092"/>
      <c r="M88" s="1093"/>
      <c r="S88" s="1091"/>
    </row>
    <row r="89" spans="1:19">
      <c r="A89" s="1091">
        <v>307</v>
      </c>
      <c r="B89" s="1091" t="s">
        <v>306</v>
      </c>
      <c r="C89" s="1091">
        <v>134597</v>
      </c>
      <c r="D89" s="1091">
        <v>3071104</v>
      </c>
      <c r="E89" s="1091">
        <v>1104</v>
      </c>
      <c r="F89" s="1091" t="s">
        <v>307</v>
      </c>
      <c r="G89" s="1091">
        <v>12</v>
      </c>
      <c r="H89" s="1092">
        <v>271271</v>
      </c>
      <c r="I89" s="1092">
        <v>9223.2139999999999</v>
      </c>
      <c r="J89" s="1091"/>
      <c r="K89" s="1091" t="s">
        <v>182</v>
      </c>
      <c r="L89" s="1092"/>
      <c r="M89" s="1093"/>
      <c r="S89" s="1091"/>
    </row>
    <row r="90" spans="1:19">
      <c r="A90" s="1091">
        <v>307</v>
      </c>
      <c r="B90" s="1091" t="s">
        <v>306</v>
      </c>
      <c r="C90" s="1091">
        <v>131753</v>
      </c>
      <c r="D90" s="1091">
        <v>3071103</v>
      </c>
      <c r="E90" s="1091">
        <v>1103</v>
      </c>
      <c r="F90" s="1091" t="s">
        <v>308</v>
      </c>
      <c r="G90" s="1091">
        <v>12</v>
      </c>
      <c r="H90" s="1092">
        <v>2420238</v>
      </c>
      <c r="I90" s="1092">
        <v>82288.092000000004</v>
      </c>
      <c r="J90" s="1091"/>
      <c r="K90" s="1091" t="s">
        <v>182</v>
      </c>
      <c r="L90" s="1092"/>
      <c r="M90" s="1093"/>
      <c r="S90" s="1091"/>
    </row>
    <row r="91" spans="1:19">
      <c r="A91" s="1091">
        <v>811</v>
      </c>
      <c r="B91" s="1091" t="s">
        <v>309</v>
      </c>
      <c r="C91" s="1091">
        <v>142135</v>
      </c>
      <c r="D91" s="1091">
        <v>8111102</v>
      </c>
      <c r="E91" s="1091">
        <v>1102</v>
      </c>
      <c r="F91" s="1091" t="s">
        <v>310</v>
      </c>
      <c r="G91" s="1091">
        <v>12</v>
      </c>
      <c r="H91" s="1092">
        <v>2949118</v>
      </c>
      <c r="I91" s="1092">
        <v>100270.012</v>
      </c>
      <c r="J91" s="1091"/>
      <c r="K91" s="1091" t="s">
        <v>182</v>
      </c>
      <c r="L91" s="1092"/>
      <c r="M91" s="1093"/>
      <c r="S91" s="1091"/>
    </row>
    <row r="92" spans="1:19">
      <c r="A92" s="1091">
        <v>845</v>
      </c>
      <c r="B92" s="1091" t="s">
        <v>311</v>
      </c>
      <c r="C92" s="1091">
        <v>142143</v>
      </c>
      <c r="D92" s="1091">
        <v>8451111</v>
      </c>
      <c r="E92" s="1091">
        <v>1111</v>
      </c>
      <c r="F92" s="1091" t="s">
        <v>312</v>
      </c>
      <c r="G92" s="1091">
        <v>12</v>
      </c>
      <c r="H92" s="1092">
        <v>684769.16711499996</v>
      </c>
      <c r="I92" s="1092">
        <v>23282.15168191</v>
      </c>
      <c r="J92" s="1091"/>
      <c r="K92" s="1091" t="s">
        <v>188</v>
      </c>
      <c r="L92" s="1092"/>
      <c r="M92" s="1093"/>
      <c r="S92" s="1091"/>
    </row>
    <row r="93" spans="1:19">
      <c r="A93" s="1091">
        <v>845</v>
      </c>
      <c r="B93" s="1091" t="s">
        <v>311</v>
      </c>
      <c r="C93" s="1091">
        <v>147855</v>
      </c>
      <c r="D93" s="1091">
        <v>8451101</v>
      </c>
      <c r="E93" s="1091">
        <v>1101</v>
      </c>
      <c r="F93" s="1091" t="s">
        <v>313</v>
      </c>
      <c r="G93" s="1091">
        <v>12</v>
      </c>
      <c r="H93" s="1092">
        <v>628522.5</v>
      </c>
      <c r="I93" s="1092">
        <v>21369.765000000003</v>
      </c>
      <c r="J93" s="1091"/>
      <c r="K93" s="1091" t="s">
        <v>188</v>
      </c>
      <c r="L93" s="1092"/>
      <c r="M93" s="1093"/>
      <c r="S93" s="1091"/>
    </row>
    <row r="94" spans="1:19">
      <c r="A94" s="1091">
        <v>308</v>
      </c>
      <c r="B94" s="1091" t="s">
        <v>314</v>
      </c>
      <c r="C94" s="1091">
        <v>101972</v>
      </c>
      <c r="D94" s="1091">
        <v>3081100</v>
      </c>
      <c r="E94" s="1091">
        <v>1100</v>
      </c>
      <c r="F94" s="1091" t="s">
        <v>315</v>
      </c>
      <c r="G94" s="1091">
        <v>12</v>
      </c>
      <c r="H94" s="1092">
        <v>2362264</v>
      </c>
      <c r="I94" s="1092">
        <v>80316.97600000001</v>
      </c>
      <c r="J94" s="1091"/>
      <c r="K94" s="1091" t="s">
        <v>182</v>
      </c>
      <c r="L94" s="1092"/>
      <c r="M94" s="1093"/>
      <c r="S94" s="1091"/>
    </row>
    <row r="95" spans="1:19">
      <c r="A95" s="1091">
        <v>881</v>
      </c>
      <c r="B95" s="1091" t="s">
        <v>316</v>
      </c>
      <c r="C95" s="1091">
        <v>148008</v>
      </c>
      <c r="D95" s="1091">
        <v>8811121</v>
      </c>
      <c r="E95" s="1091">
        <v>1121</v>
      </c>
      <c r="F95" s="1091" t="s">
        <v>317</v>
      </c>
      <c r="G95" s="1091">
        <v>12</v>
      </c>
      <c r="H95" s="1092">
        <v>1882162.5</v>
      </c>
      <c r="I95" s="1092">
        <v>63993.525000000001</v>
      </c>
      <c r="J95" s="1091"/>
      <c r="K95" s="1091" t="s">
        <v>188</v>
      </c>
      <c r="L95" s="1092"/>
      <c r="M95" s="1093"/>
      <c r="S95" s="1091"/>
    </row>
    <row r="96" spans="1:19">
      <c r="A96" s="1091">
        <v>881</v>
      </c>
      <c r="B96" s="1091" t="s">
        <v>316</v>
      </c>
      <c r="C96" s="1091">
        <v>134260</v>
      </c>
      <c r="D96" s="1091">
        <v>8811108</v>
      </c>
      <c r="E96" s="1091">
        <v>1108</v>
      </c>
      <c r="F96" s="1091" t="s">
        <v>318</v>
      </c>
      <c r="G96" s="1091">
        <v>12</v>
      </c>
      <c r="H96" s="1092">
        <v>589488</v>
      </c>
      <c r="I96" s="1092">
        <v>20042.592000000001</v>
      </c>
      <c r="J96" s="1091"/>
      <c r="K96" s="1091" t="s">
        <v>182</v>
      </c>
      <c r="L96" s="1092"/>
      <c r="M96" s="1093"/>
      <c r="S96" s="1091"/>
    </row>
    <row r="97" spans="1:19">
      <c r="A97" s="1091">
        <v>881</v>
      </c>
      <c r="B97" s="1091" t="s">
        <v>316</v>
      </c>
      <c r="C97" s="1091">
        <v>135778</v>
      </c>
      <c r="D97" s="1091">
        <v>8811115</v>
      </c>
      <c r="E97" s="1091">
        <v>1115</v>
      </c>
      <c r="F97" s="1091" t="s">
        <v>319</v>
      </c>
      <c r="G97" s="1091">
        <v>12</v>
      </c>
      <c r="H97" s="1092">
        <v>345364</v>
      </c>
      <c r="I97" s="1092">
        <v>11742.376</v>
      </c>
      <c r="J97" s="1091"/>
      <c r="K97" s="1091" t="s">
        <v>182</v>
      </c>
      <c r="L97" s="1092"/>
      <c r="M97" s="1093"/>
      <c r="S97" s="1091"/>
    </row>
    <row r="98" spans="1:19">
      <c r="A98" s="1091">
        <v>881</v>
      </c>
      <c r="B98" s="1091" t="s">
        <v>316</v>
      </c>
      <c r="C98" s="1091">
        <v>136035</v>
      </c>
      <c r="D98" s="1091">
        <v>8811120</v>
      </c>
      <c r="E98" s="1091">
        <v>1120</v>
      </c>
      <c r="F98" s="1091" t="s">
        <v>320</v>
      </c>
      <c r="G98" s="1091">
        <v>12</v>
      </c>
      <c r="H98" s="1092">
        <v>4260111</v>
      </c>
      <c r="I98" s="1092">
        <v>144843.774</v>
      </c>
      <c r="J98" s="1091"/>
      <c r="K98" s="1091" t="s">
        <v>182</v>
      </c>
      <c r="L98" s="1092"/>
      <c r="M98" s="1093"/>
      <c r="S98" s="1091"/>
    </row>
    <row r="99" spans="1:19">
      <c r="A99" s="1091">
        <v>881</v>
      </c>
      <c r="B99" s="1091" t="s">
        <v>316</v>
      </c>
      <c r="C99" s="1091">
        <v>143591</v>
      </c>
      <c r="D99" s="1091">
        <v>8811106</v>
      </c>
      <c r="E99" s="1091">
        <v>1106</v>
      </c>
      <c r="F99" s="1091" t="s">
        <v>321</v>
      </c>
      <c r="G99" s="1091">
        <v>12</v>
      </c>
      <c r="H99" s="1092">
        <v>2999855</v>
      </c>
      <c r="I99" s="1092">
        <v>101995.07</v>
      </c>
      <c r="J99" s="1091"/>
      <c r="K99" s="1091" t="s">
        <v>188</v>
      </c>
      <c r="L99" s="1092"/>
      <c r="M99" s="1093"/>
      <c r="S99" s="1091"/>
    </row>
    <row r="100" spans="1:19">
      <c r="A100" s="1091">
        <v>881</v>
      </c>
      <c r="B100" s="1091" t="s">
        <v>316</v>
      </c>
      <c r="C100" s="1091">
        <v>143590</v>
      </c>
      <c r="D100" s="1091">
        <v>8811112</v>
      </c>
      <c r="E100" s="1091">
        <v>1112</v>
      </c>
      <c r="F100" s="1091" t="s">
        <v>322</v>
      </c>
      <c r="G100" s="1091">
        <v>12</v>
      </c>
      <c r="H100" s="1092">
        <v>3082435</v>
      </c>
      <c r="I100" s="1092">
        <v>104802.79000000001</v>
      </c>
      <c r="J100" s="1091"/>
      <c r="K100" s="1091" t="s">
        <v>188</v>
      </c>
      <c r="L100" s="1092"/>
      <c r="M100" s="1093"/>
      <c r="S100" s="1091"/>
    </row>
    <row r="101" spans="1:19">
      <c r="A101" s="1091">
        <v>390</v>
      </c>
      <c r="B101" s="1091" t="s">
        <v>323</v>
      </c>
      <c r="C101" s="1091">
        <v>144352</v>
      </c>
      <c r="D101" s="1091">
        <v>3901101</v>
      </c>
      <c r="E101" s="1091">
        <v>1101</v>
      </c>
      <c r="F101" s="1091" t="s">
        <v>324</v>
      </c>
      <c r="G101" s="1091">
        <v>12</v>
      </c>
      <c r="H101" s="1092">
        <v>1171385</v>
      </c>
      <c r="I101" s="1092">
        <v>39827.090000000004</v>
      </c>
      <c r="J101" s="1091"/>
      <c r="K101" s="1091" t="s">
        <v>188</v>
      </c>
      <c r="L101" s="1092"/>
      <c r="M101" s="1093"/>
      <c r="S101" s="1091"/>
    </row>
    <row r="102" spans="1:19">
      <c r="A102" s="1091">
        <v>916</v>
      </c>
      <c r="B102" s="1091" t="s">
        <v>325</v>
      </c>
      <c r="C102" s="1091">
        <v>139660</v>
      </c>
      <c r="D102" s="1091">
        <v>9161108</v>
      </c>
      <c r="E102" s="1091">
        <v>1108</v>
      </c>
      <c r="F102" s="1091" t="s">
        <v>326</v>
      </c>
      <c r="G102" s="1091">
        <v>12</v>
      </c>
      <c r="H102" s="1092">
        <v>664045</v>
      </c>
      <c r="I102" s="1092">
        <v>22577.530000000002</v>
      </c>
      <c r="J102" s="1091"/>
      <c r="K102" s="1091" t="s">
        <v>188</v>
      </c>
      <c r="L102" s="1092"/>
      <c r="M102" s="1093"/>
      <c r="S102" s="1091"/>
    </row>
    <row r="103" spans="1:19">
      <c r="A103" s="1091">
        <v>916</v>
      </c>
      <c r="B103" s="1091" t="s">
        <v>325</v>
      </c>
      <c r="C103" s="1091">
        <v>131367</v>
      </c>
      <c r="D103" s="1091">
        <v>9161104</v>
      </c>
      <c r="E103" s="1091">
        <v>1104</v>
      </c>
      <c r="F103" s="1091" t="s">
        <v>327</v>
      </c>
      <c r="G103" s="1091">
        <v>12</v>
      </c>
      <c r="H103" s="1092">
        <v>1914030</v>
      </c>
      <c r="I103" s="1092">
        <v>65077.020000000004</v>
      </c>
      <c r="J103" s="1091"/>
      <c r="K103" s="1091" t="s">
        <v>182</v>
      </c>
      <c r="L103" s="1092"/>
      <c r="M103" s="1093"/>
      <c r="S103" s="1091"/>
    </row>
    <row r="104" spans="1:19">
      <c r="A104" s="1091">
        <v>916</v>
      </c>
      <c r="B104" s="1091" t="s">
        <v>325</v>
      </c>
      <c r="C104" s="1091">
        <v>135330</v>
      </c>
      <c r="D104" s="1091">
        <v>9161106</v>
      </c>
      <c r="E104" s="1091">
        <v>1106</v>
      </c>
      <c r="F104" s="1091" t="s">
        <v>328</v>
      </c>
      <c r="G104" s="1091">
        <v>12</v>
      </c>
      <c r="H104" s="1092">
        <v>2110040</v>
      </c>
      <c r="I104" s="1092">
        <v>71741.36</v>
      </c>
      <c r="J104" s="1091"/>
      <c r="K104" s="1091" t="s">
        <v>182</v>
      </c>
      <c r="L104" s="1092"/>
      <c r="M104" s="1093"/>
      <c r="S104" s="1091"/>
    </row>
    <row r="105" spans="1:19">
      <c r="A105" s="1091">
        <v>916</v>
      </c>
      <c r="B105" s="1091" t="s">
        <v>325</v>
      </c>
      <c r="C105" s="1091">
        <v>135331</v>
      </c>
      <c r="D105" s="1091">
        <v>9161107</v>
      </c>
      <c r="E105" s="1091">
        <v>1107</v>
      </c>
      <c r="F105" s="1091" t="s">
        <v>329</v>
      </c>
      <c r="G105" s="1091">
        <v>12</v>
      </c>
      <c r="H105" s="1092">
        <v>1257857</v>
      </c>
      <c r="I105" s="1092">
        <v>42767.138000000006</v>
      </c>
      <c r="J105" s="1091"/>
      <c r="K105" s="1091" t="s">
        <v>182</v>
      </c>
      <c r="L105" s="1092"/>
      <c r="M105" s="1093"/>
      <c r="S105" s="1091"/>
    </row>
    <row r="106" spans="1:19">
      <c r="A106" s="1091">
        <v>916</v>
      </c>
      <c r="B106" s="1091" t="s">
        <v>325</v>
      </c>
      <c r="C106" s="1091">
        <v>135329</v>
      </c>
      <c r="D106" s="1091">
        <v>9161105</v>
      </c>
      <c r="E106" s="1091">
        <v>1105</v>
      </c>
      <c r="F106" s="1091" t="s">
        <v>330</v>
      </c>
      <c r="G106" s="1091">
        <v>10</v>
      </c>
      <c r="H106" s="1092" t="s">
        <v>245</v>
      </c>
      <c r="J106" s="1091"/>
      <c r="K106" s="1091" t="s">
        <v>182</v>
      </c>
      <c r="L106" s="1092"/>
      <c r="M106" s="1093"/>
      <c r="S106" s="1091"/>
    </row>
    <row r="107" spans="1:19">
      <c r="A107" s="1091">
        <v>203</v>
      </c>
      <c r="B107" s="1091" t="s">
        <v>331</v>
      </c>
      <c r="C107" s="1091">
        <v>100103</v>
      </c>
      <c r="D107" s="1091">
        <v>2031101</v>
      </c>
      <c r="E107" s="1091">
        <v>1101</v>
      </c>
      <c r="F107" s="1091" t="s">
        <v>332</v>
      </c>
      <c r="G107" s="1091">
        <v>12</v>
      </c>
      <c r="H107" s="1092">
        <v>4602326</v>
      </c>
      <c r="I107" s="1092">
        <v>156479.084</v>
      </c>
      <c r="J107" s="1091"/>
      <c r="K107" s="1091" t="s">
        <v>182</v>
      </c>
      <c r="L107" s="1092"/>
      <c r="M107" s="1093"/>
      <c r="S107" s="1091"/>
    </row>
    <row r="108" spans="1:19">
      <c r="A108" s="1091">
        <v>204</v>
      </c>
      <c r="B108" s="1091" t="s">
        <v>333</v>
      </c>
      <c r="C108" s="1091">
        <v>134635</v>
      </c>
      <c r="D108" s="1091">
        <v>2041103</v>
      </c>
      <c r="E108" s="1091">
        <v>1103</v>
      </c>
      <c r="F108" s="1091" t="s">
        <v>334</v>
      </c>
      <c r="G108" s="1091">
        <v>12</v>
      </c>
      <c r="H108" s="1092">
        <v>2876937</v>
      </c>
      <c r="I108" s="1092">
        <v>97815.858000000007</v>
      </c>
      <c r="J108" s="1091"/>
      <c r="K108" s="1091" t="s">
        <v>182</v>
      </c>
      <c r="L108" s="1092"/>
      <c r="M108" s="1093"/>
      <c r="S108" s="1091"/>
    </row>
    <row r="109" spans="1:19">
      <c r="A109" s="1091">
        <v>204</v>
      </c>
      <c r="B109" s="1091" t="s">
        <v>333</v>
      </c>
      <c r="C109" s="1091">
        <v>143103</v>
      </c>
      <c r="D109" s="1091">
        <v>2046010</v>
      </c>
      <c r="E109" s="1091">
        <v>6010</v>
      </c>
      <c r="F109" s="1091" t="s">
        <v>335</v>
      </c>
      <c r="G109" s="1091">
        <v>12</v>
      </c>
      <c r="H109" s="1092">
        <v>1080090</v>
      </c>
      <c r="I109" s="1092">
        <v>36723.060000000005</v>
      </c>
      <c r="J109" s="1091"/>
      <c r="K109" s="1091" t="s">
        <v>188</v>
      </c>
      <c r="L109" s="1092"/>
      <c r="M109" s="1093"/>
      <c r="S109" s="1091"/>
    </row>
    <row r="110" spans="1:19">
      <c r="A110" s="1091">
        <v>876</v>
      </c>
      <c r="B110" s="1091" t="s">
        <v>336</v>
      </c>
      <c r="C110" s="1091">
        <v>134321</v>
      </c>
      <c r="D110" s="1091">
        <v>8761100</v>
      </c>
      <c r="E110" s="1091">
        <v>1100</v>
      </c>
      <c r="F110" s="1091" t="s">
        <v>337</v>
      </c>
      <c r="G110" s="1091">
        <v>12</v>
      </c>
      <c r="H110" s="1092">
        <v>1744846</v>
      </c>
      <c r="I110" s="1092">
        <v>59324.764000000003</v>
      </c>
      <c r="J110" s="1091"/>
      <c r="K110" s="1091" t="s">
        <v>182</v>
      </c>
      <c r="L110" s="1092"/>
      <c r="M110" s="1093"/>
      <c r="S110" s="1091"/>
    </row>
    <row r="111" spans="1:19">
      <c r="A111" s="1091">
        <v>205</v>
      </c>
      <c r="B111" s="1091" t="s">
        <v>338</v>
      </c>
      <c r="C111" s="1091">
        <v>139509</v>
      </c>
      <c r="D111" s="1091">
        <v>2051101</v>
      </c>
      <c r="E111" s="1091">
        <v>1101</v>
      </c>
      <c r="F111" s="1091" t="s">
        <v>339</v>
      </c>
      <c r="G111" s="1091">
        <v>12</v>
      </c>
      <c r="H111" s="1092">
        <v>1893350</v>
      </c>
      <c r="I111" s="1092">
        <v>64373.9</v>
      </c>
      <c r="J111" s="1091"/>
      <c r="K111" s="1091" t="s">
        <v>188</v>
      </c>
      <c r="L111" s="1092"/>
      <c r="M111" s="1093"/>
      <c r="S111" s="1091"/>
    </row>
    <row r="112" spans="1:19">
      <c r="A112" s="1091">
        <v>205</v>
      </c>
      <c r="B112" s="1091" t="s">
        <v>338</v>
      </c>
      <c r="C112" s="1091">
        <v>139541</v>
      </c>
      <c r="D112" s="1091">
        <v>2051106</v>
      </c>
      <c r="E112" s="1091">
        <v>1106</v>
      </c>
      <c r="F112" s="1091" t="s">
        <v>340</v>
      </c>
      <c r="G112" s="1091">
        <v>12</v>
      </c>
      <c r="H112" s="1092">
        <v>384240</v>
      </c>
      <c r="I112" s="1092">
        <v>13064.160000000002</v>
      </c>
      <c r="J112" s="1091"/>
      <c r="K112" s="1091" t="s">
        <v>188</v>
      </c>
      <c r="L112" s="1092"/>
      <c r="M112" s="1093"/>
      <c r="S112" s="1091"/>
    </row>
    <row r="113" spans="1:19">
      <c r="A113" s="1091">
        <v>205</v>
      </c>
      <c r="B113" s="1091" t="s">
        <v>338</v>
      </c>
      <c r="C113" s="1091">
        <v>140201</v>
      </c>
      <c r="D113" s="1091">
        <v>2056394</v>
      </c>
      <c r="E113" s="1091">
        <v>6394</v>
      </c>
      <c r="F113" s="1091" t="s">
        <v>341</v>
      </c>
      <c r="G113" s="1091">
        <v>12</v>
      </c>
      <c r="H113" s="1092">
        <v>1587045</v>
      </c>
      <c r="I113" s="1092">
        <v>53959.530000000006</v>
      </c>
      <c r="J113" s="1091"/>
      <c r="K113" s="1091" t="s">
        <v>188</v>
      </c>
      <c r="L113" s="1092"/>
      <c r="M113" s="1093"/>
      <c r="S113" s="1091"/>
    </row>
    <row r="114" spans="1:19">
      <c r="A114" s="1091">
        <v>850</v>
      </c>
      <c r="B114" s="1091" t="s">
        <v>342</v>
      </c>
      <c r="C114" s="1091">
        <v>115838</v>
      </c>
      <c r="D114" s="1091">
        <v>8501105</v>
      </c>
      <c r="E114" s="1091">
        <v>1105</v>
      </c>
      <c r="F114" s="1091" t="s">
        <v>343</v>
      </c>
      <c r="G114" s="1091">
        <v>12</v>
      </c>
      <c r="H114" s="1092">
        <v>1542477</v>
      </c>
      <c r="I114" s="1092">
        <v>52444.218000000001</v>
      </c>
      <c r="J114" s="1091"/>
      <c r="K114" s="1091" t="s">
        <v>182</v>
      </c>
      <c r="L114" s="1092"/>
      <c r="M114" s="1093"/>
      <c r="S114" s="1091"/>
    </row>
    <row r="115" spans="1:19">
      <c r="A115" s="1091">
        <v>850</v>
      </c>
      <c r="B115" s="1091" t="s">
        <v>342</v>
      </c>
      <c r="C115" s="1091">
        <v>133778</v>
      </c>
      <c r="D115" s="1091">
        <v>8501118</v>
      </c>
      <c r="E115" s="1091">
        <v>1118</v>
      </c>
      <c r="F115" s="1091" t="s">
        <v>344</v>
      </c>
      <c r="G115" s="1091">
        <v>12</v>
      </c>
      <c r="H115" s="1092">
        <v>2473875</v>
      </c>
      <c r="I115" s="1092">
        <v>84111.75</v>
      </c>
      <c r="J115" s="1091"/>
      <c r="K115" s="1091" t="s">
        <v>182</v>
      </c>
      <c r="L115" s="1092"/>
      <c r="M115" s="1093"/>
      <c r="S115" s="1091"/>
    </row>
    <row r="116" spans="1:19">
      <c r="A116" s="1091">
        <v>850</v>
      </c>
      <c r="B116" s="1091" t="s">
        <v>342</v>
      </c>
      <c r="C116" s="1091">
        <v>115836</v>
      </c>
      <c r="D116" s="1091">
        <v>8501103</v>
      </c>
      <c r="E116" s="1091">
        <v>1103</v>
      </c>
      <c r="F116" s="1091" t="s">
        <v>345</v>
      </c>
      <c r="G116" s="1091">
        <v>12</v>
      </c>
      <c r="H116" s="1092">
        <v>1400521</v>
      </c>
      <c r="I116" s="1092">
        <v>47617.714</v>
      </c>
      <c r="J116" s="1091"/>
      <c r="K116" s="1091" t="s">
        <v>182</v>
      </c>
      <c r="L116" s="1092"/>
      <c r="M116" s="1093"/>
      <c r="S116" s="1091"/>
    </row>
    <row r="117" spans="1:19">
      <c r="A117" s="1091">
        <v>850</v>
      </c>
      <c r="B117" s="1091" t="s">
        <v>342</v>
      </c>
      <c r="C117" s="1091">
        <v>115837</v>
      </c>
      <c r="D117" s="1091">
        <v>8501104</v>
      </c>
      <c r="E117" s="1091">
        <v>1104</v>
      </c>
      <c r="F117" s="1091" t="s">
        <v>346</v>
      </c>
      <c r="G117" s="1091">
        <v>12</v>
      </c>
      <c r="H117" s="1092">
        <v>883429</v>
      </c>
      <c r="I117" s="1092">
        <v>30036.586000000003</v>
      </c>
      <c r="J117" s="1091"/>
      <c r="K117" s="1091" t="s">
        <v>182</v>
      </c>
      <c r="L117" s="1092"/>
      <c r="M117" s="1093"/>
      <c r="S117" s="1091"/>
    </row>
    <row r="118" spans="1:19">
      <c r="A118" s="1091">
        <v>850</v>
      </c>
      <c r="B118" s="1091" t="s">
        <v>342</v>
      </c>
      <c r="C118" s="1091">
        <v>115847</v>
      </c>
      <c r="D118" s="1091">
        <v>8501115</v>
      </c>
      <c r="E118" s="1091">
        <v>1115</v>
      </c>
      <c r="F118" s="1091" t="s">
        <v>347</v>
      </c>
      <c r="G118" s="1091">
        <v>12</v>
      </c>
      <c r="H118" s="1092">
        <v>1092684</v>
      </c>
      <c r="I118" s="1092">
        <v>37151.256000000001</v>
      </c>
      <c r="J118" s="1091"/>
      <c r="K118" s="1091" t="s">
        <v>182</v>
      </c>
      <c r="L118" s="1092"/>
      <c r="M118" s="1093"/>
      <c r="S118" s="1091"/>
    </row>
    <row r="119" spans="1:19">
      <c r="A119" s="1091">
        <v>850</v>
      </c>
      <c r="B119" s="1091" t="s">
        <v>342</v>
      </c>
      <c r="C119" s="1091">
        <v>141123</v>
      </c>
      <c r="D119" s="1091">
        <v>8507003</v>
      </c>
      <c r="E119" s="1091">
        <v>7003</v>
      </c>
      <c r="F119" s="1091" t="s">
        <v>348</v>
      </c>
      <c r="G119" s="1091">
        <v>12</v>
      </c>
      <c r="H119" s="1092">
        <v>979360</v>
      </c>
      <c r="I119" s="1092">
        <v>33298.240000000005</v>
      </c>
      <c r="J119" s="1091"/>
      <c r="K119" s="1091" t="s">
        <v>188</v>
      </c>
      <c r="L119" s="1092"/>
      <c r="M119" s="1093"/>
      <c r="S119" s="1091"/>
    </row>
    <row r="120" spans="1:19">
      <c r="A120" s="1091">
        <v>850</v>
      </c>
      <c r="B120" s="1091" t="s">
        <v>342</v>
      </c>
      <c r="C120" s="1091">
        <v>142906</v>
      </c>
      <c r="D120" s="1091">
        <v>8501107</v>
      </c>
      <c r="E120" s="1091">
        <v>1107</v>
      </c>
      <c r="F120" s="1091" t="s">
        <v>349</v>
      </c>
      <c r="G120" s="1091">
        <v>12</v>
      </c>
      <c r="H120" s="1092">
        <v>1021837.5</v>
      </c>
      <c r="I120" s="1092">
        <v>34742.475000000006</v>
      </c>
      <c r="J120" s="1091"/>
      <c r="K120" s="1091" t="s">
        <v>188</v>
      </c>
      <c r="L120" s="1092"/>
      <c r="M120" s="1093"/>
      <c r="S120" s="1091"/>
    </row>
    <row r="121" spans="1:19">
      <c r="A121" s="1091">
        <v>309</v>
      </c>
      <c r="B121" s="1091" t="s">
        <v>350</v>
      </c>
      <c r="C121" s="1091">
        <v>131584</v>
      </c>
      <c r="D121" s="1091">
        <v>3091101</v>
      </c>
      <c r="E121" s="1091">
        <v>1101</v>
      </c>
      <c r="F121" s="1091" t="s">
        <v>351</v>
      </c>
      <c r="G121" s="1091">
        <v>12</v>
      </c>
      <c r="H121" s="1092">
        <v>3362958</v>
      </c>
      <c r="I121" s="1092">
        <v>114340.57200000001</v>
      </c>
      <c r="J121" s="1091"/>
      <c r="K121" s="1091" t="s">
        <v>182</v>
      </c>
      <c r="L121" s="1092"/>
      <c r="M121" s="1093"/>
      <c r="S121" s="1091"/>
    </row>
    <row r="122" spans="1:19">
      <c r="A122" s="1091">
        <v>310</v>
      </c>
      <c r="B122" s="1091" t="s">
        <v>352</v>
      </c>
      <c r="C122" s="1091">
        <v>102180</v>
      </c>
      <c r="D122" s="1091">
        <v>3101101</v>
      </c>
      <c r="E122" s="1091">
        <v>1101</v>
      </c>
      <c r="F122" s="1091" t="s">
        <v>353</v>
      </c>
      <c r="G122" s="1091">
        <v>12</v>
      </c>
      <c r="H122" s="1092">
        <v>1733375</v>
      </c>
      <c r="I122" s="1092">
        <v>58934.750000000007</v>
      </c>
      <c r="J122" s="1091"/>
      <c r="K122" s="1091" t="s">
        <v>182</v>
      </c>
      <c r="L122" s="1092"/>
      <c r="M122" s="1093"/>
      <c r="S122" s="1091"/>
    </row>
    <row r="123" spans="1:19">
      <c r="A123" s="1091">
        <v>310</v>
      </c>
      <c r="B123" s="1091" t="s">
        <v>352</v>
      </c>
      <c r="C123" s="1091">
        <v>139925</v>
      </c>
      <c r="D123" s="1091">
        <v>3101102</v>
      </c>
      <c r="E123" s="1091">
        <v>1102</v>
      </c>
      <c r="F123" s="1091" t="s">
        <v>354</v>
      </c>
      <c r="G123" s="1091">
        <v>12</v>
      </c>
      <c r="H123" s="1092">
        <v>1024000</v>
      </c>
      <c r="I123" s="1092">
        <v>34816</v>
      </c>
      <c r="J123" s="1091"/>
      <c r="K123" s="1091" t="s">
        <v>188</v>
      </c>
      <c r="L123" s="1092"/>
      <c r="M123" s="1093"/>
      <c r="S123" s="1091"/>
    </row>
    <row r="124" spans="1:19">
      <c r="A124" s="1091">
        <v>805</v>
      </c>
      <c r="B124" s="1091" t="s">
        <v>355</v>
      </c>
      <c r="C124" s="1091">
        <v>131294</v>
      </c>
      <c r="D124" s="1091">
        <v>8051100</v>
      </c>
      <c r="E124" s="1091">
        <v>1100</v>
      </c>
      <c r="F124" s="1091" t="s">
        <v>356</v>
      </c>
      <c r="G124" s="1091">
        <v>12</v>
      </c>
      <c r="H124" s="1092">
        <v>709129</v>
      </c>
      <c r="I124" s="1092">
        <v>24110.386000000002</v>
      </c>
      <c r="J124" s="1091"/>
      <c r="K124" s="1091" t="s">
        <v>182</v>
      </c>
      <c r="L124" s="1092"/>
      <c r="M124" s="1093"/>
      <c r="S124" s="1091"/>
    </row>
    <row r="125" spans="1:19">
      <c r="A125" s="1091">
        <v>311</v>
      </c>
      <c r="B125" s="1091" t="s">
        <v>357</v>
      </c>
      <c r="C125" s="1091">
        <v>143130</v>
      </c>
      <c r="D125" s="1091">
        <v>3111109</v>
      </c>
      <c r="E125" s="1091">
        <v>1109</v>
      </c>
      <c r="F125" s="1091" t="s">
        <v>358</v>
      </c>
      <c r="G125" s="1091">
        <v>12</v>
      </c>
      <c r="H125" s="1092">
        <v>882062.5</v>
      </c>
      <c r="I125" s="1092">
        <v>29990.125000000004</v>
      </c>
      <c r="J125" s="1091"/>
      <c r="K125" s="1091" t="s">
        <v>188</v>
      </c>
      <c r="L125" s="1092"/>
      <c r="M125" s="1093"/>
      <c r="S125" s="1091"/>
    </row>
    <row r="126" spans="1:19">
      <c r="A126" s="1091">
        <v>884</v>
      </c>
      <c r="B126" s="1091" t="s">
        <v>359</v>
      </c>
      <c r="C126" s="1091">
        <v>130991</v>
      </c>
      <c r="D126" s="1091">
        <v>8841109</v>
      </c>
      <c r="E126" s="1091">
        <v>1109</v>
      </c>
      <c r="F126" s="1091" t="s">
        <v>360</v>
      </c>
      <c r="G126" s="1091">
        <v>12</v>
      </c>
      <c r="H126" s="1092">
        <v>1302904</v>
      </c>
      <c r="I126" s="1092">
        <v>44298.736000000004</v>
      </c>
      <c r="J126" s="1091"/>
      <c r="K126" s="1091" t="s">
        <v>182</v>
      </c>
      <c r="L126" s="1092"/>
      <c r="M126" s="1093"/>
      <c r="S126" s="1091"/>
    </row>
    <row r="127" spans="1:19">
      <c r="A127" s="1091">
        <v>919</v>
      </c>
      <c r="B127" s="1091" t="s">
        <v>361</v>
      </c>
      <c r="C127" s="1091">
        <v>139197</v>
      </c>
      <c r="D127" s="1091">
        <v>9191106</v>
      </c>
      <c r="E127" s="1091">
        <v>1106</v>
      </c>
      <c r="F127" s="1091" t="s">
        <v>362</v>
      </c>
      <c r="G127" s="1091">
        <v>12</v>
      </c>
      <c r="H127" s="1092">
        <v>679045</v>
      </c>
      <c r="I127" s="1092">
        <v>23087.530000000002</v>
      </c>
      <c r="J127" s="1091"/>
      <c r="K127" s="1091" t="s">
        <v>188</v>
      </c>
      <c r="L127" s="1092"/>
      <c r="M127" s="1093"/>
      <c r="S127" s="1091"/>
    </row>
    <row r="128" spans="1:19">
      <c r="A128" s="1091">
        <v>919</v>
      </c>
      <c r="B128" s="1091" t="s">
        <v>361</v>
      </c>
      <c r="C128" s="1091">
        <v>147451</v>
      </c>
      <c r="D128" s="1091">
        <v>9191112</v>
      </c>
      <c r="E128" s="1091">
        <v>1112</v>
      </c>
      <c r="F128" s="1091" t="s">
        <v>363</v>
      </c>
      <c r="G128" s="1091">
        <v>12</v>
      </c>
      <c r="H128" s="1092">
        <v>766927.5</v>
      </c>
      <c r="I128" s="1092">
        <v>26075.535000000003</v>
      </c>
      <c r="J128" s="1091"/>
      <c r="K128" s="1091" t="s">
        <v>188</v>
      </c>
      <c r="L128" s="1092"/>
      <c r="M128" s="1093"/>
      <c r="S128" s="1091"/>
    </row>
    <row r="129" spans="1:19">
      <c r="A129" s="1091">
        <v>919</v>
      </c>
      <c r="B129" s="1091" t="s">
        <v>361</v>
      </c>
      <c r="C129" s="1091">
        <v>130344</v>
      </c>
      <c r="D129" s="1091">
        <v>9191101</v>
      </c>
      <c r="E129" s="1091">
        <v>1101</v>
      </c>
      <c r="F129" s="1091" t="s">
        <v>364</v>
      </c>
      <c r="G129" s="1091">
        <v>12</v>
      </c>
      <c r="H129" s="1092">
        <v>1442923</v>
      </c>
      <c r="I129" s="1092">
        <v>49059.382000000005</v>
      </c>
      <c r="J129" s="1091"/>
      <c r="K129" s="1091" t="s">
        <v>182</v>
      </c>
      <c r="L129" s="1092"/>
      <c r="M129" s="1093"/>
      <c r="S129" s="1091"/>
    </row>
    <row r="130" spans="1:19">
      <c r="A130" s="1091">
        <v>919</v>
      </c>
      <c r="B130" s="1091" t="s">
        <v>361</v>
      </c>
      <c r="C130" s="1091">
        <v>131100</v>
      </c>
      <c r="D130" s="1091">
        <v>9191108</v>
      </c>
      <c r="E130" s="1091">
        <v>1108</v>
      </c>
      <c r="F130" s="1091" t="s">
        <v>365</v>
      </c>
      <c r="G130" s="1091">
        <v>12</v>
      </c>
      <c r="H130" s="1092">
        <v>2143896</v>
      </c>
      <c r="I130" s="1092">
        <v>72892.464000000007</v>
      </c>
      <c r="J130" s="1091"/>
      <c r="K130" s="1091" t="s">
        <v>182</v>
      </c>
      <c r="L130" s="1092"/>
      <c r="M130" s="1093"/>
      <c r="S130" s="1091"/>
    </row>
    <row r="131" spans="1:19">
      <c r="A131" s="1091">
        <v>919</v>
      </c>
      <c r="B131" s="1091" t="s">
        <v>361</v>
      </c>
      <c r="C131" s="1091">
        <v>130349</v>
      </c>
      <c r="D131" s="1091">
        <v>9191105</v>
      </c>
      <c r="E131" s="1091">
        <v>1105</v>
      </c>
      <c r="F131" s="1091" t="s">
        <v>366</v>
      </c>
      <c r="G131" s="1091">
        <v>12</v>
      </c>
      <c r="H131" s="1092">
        <v>2398465</v>
      </c>
      <c r="I131" s="1092">
        <v>81547.810000000012</v>
      </c>
      <c r="J131" s="1091"/>
      <c r="K131" s="1091" t="s">
        <v>182</v>
      </c>
      <c r="L131" s="1092"/>
      <c r="M131" s="1093"/>
      <c r="S131" s="1091"/>
    </row>
    <row r="132" spans="1:19">
      <c r="A132" s="1091">
        <v>919</v>
      </c>
      <c r="B132" s="1091" t="s">
        <v>361</v>
      </c>
      <c r="C132" s="1091">
        <v>130359</v>
      </c>
      <c r="D132" s="1091">
        <v>9191102</v>
      </c>
      <c r="E132" s="1091">
        <v>1102</v>
      </c>
      <c r="F132" s="1091" t="s">
        <v>367</v>
      </c>
      <c r="G132" s="1091">
        <v>12</v>
      </c>
      <c r="H132" s="1092">
        <v>1270125</v>
      </c>
      <c r="I132" s="1092">
        <v>43184.25</v>
      </c>
      <c r="J132" s="1091"/>
      <c r="K132" s="1091" t="s">
        <v>182</v>
      </c>
      <c r="L132" s="1092"/>
      <c r="M132" s="1093"/>
      <c r="S132" s="1091"/>
    </row>
    <row r="133" spans="1:19">
      <c r="A133" s="1091">
        <v>919</v>
      </c>
      <c r="B133" s="1091" t="s">
        <v>361</v>
      </c>
      <c r="C133" s="1091">
        <v>135890</v>
      </c>
      <c r="D133" s="1091">
        <v>9191109</v>
      </c>
      <c r="E133" s="1091">
        <v>1109</v>
      </c>
      <c r="F133" s="1091" t="s">
        <v>368</v>
      </c>
      <c r="G133" s="1091">
        <v>12</v>
      </c>
      <c r="H133" s="1092">
        <v>3254643</v>
      </c>
      <c r="I133" s="1092">
        <v>110657.86200000001</v>
      </c>
      <c r="J133" s="1091"/>
      <c r="K133" s="1091" t="s">
        <v>182</v>
      </c>
      <c r="L133" s="1092"/>
      <c r="M133" s="1093"/>
      <c r="S133" s="1091"/>
    </row>
    <row r="134" spans="1:19">
      <c r="A134" s="1091">
        <v>919</v>
      </c>
      <c r="B134" s="1091" t="s">
        <v>361</v>
      </c>
      <c r="C134" s="1091">
        <v>148363</v>
      </c>
      <c r="D134" s="1091">
        <v>9191110</v>
      </c>
      <c r="E134" s="1091">
        <v>1110</v>
      </c>
      <c r="F134" s="1091" t="s">
        <v>369</v>
      </c>
      <c r="G134" s="1091">
        <v>12</v>
      </c>
      <c r="H134" s="1092">
        <v>1952405</v>
      </c>
      <c r="I134" s="1092">
        <v>66381.77</v>
      </c>
      <c r="J134" s="1091"/>
      <c r="K134" s="1091" t="s">
        <v>188</v>
      </c>
      <c r="L134" s="1092"/>
      <c r="M134" s="1093"/>
      <c r="S134" s="1091"/>
    </row>
    <row r="135" spans="1:19">
      <c r="A135" s="1091">
        <v>312</v>
      </c>
      <c r="B135" s="1091" t="s">
        <v>370</v>
      </c>
      <c r="C135" s="1091">
        <v>142107</v>
      </c>
      <c r="D135" s="1091">
        <v>3121100</v>
      </c>
      <c r="E135" s="1091">
        <v>1100</v>
      </c>
      <c r="F135" s="1091" t="s">
        <v>371</v>
      </c>
      <c r="G135" s="1091">
        <v>12</v>
      </c>
      <c r="H135" s="1092">
        <v>1422737.5</v>
      </c>
      <c r="I135" s="1092">
        <v>48373.074999999997</v>
      </c>
      <c r="J135" s="1091"/>
      <c r="K135" s="1091" t="s">
        <v>188</v>
      </c>
      <c r="L135" s="1092"/>
      <c r="M135" s="1093"/>
      <c r="S135" s="1091"/>
    </row>
    <row r="136" spans="1:19">
      <c r="A136" s="1091">
        <v>313</v>
      </c>
      <c r="B136" s="1091" t="s">
        <v>372</v>
      </c>
      <c r="C136" s="1091">
        <v>131201</v>
      </c>
      <c r="D136" s="1091">
        <v>3131100</v>
      </c>
      <c r="E136" s="1091">
        <v>1100</v>
      </c>
      <c r="F136" s="1091" t="s">
        <v>373</v>
      </c>
      <c r="G136" s="1091">
        <v>12</v>
      </c>
      <c r="H136" s="1092">
        <v>5338067</v>
      </c>
      <c r="I136" s="1092">
        <v>181494.27800000002</v>
      </c>
      <c r="J136" s="1091"/>
      <c r="K136" s="1091" t="s">
        <v>182</v>
      </c>
      <c r="L136" s="1092"/>
      <c r="M136" s="1093"/>
      <c r="S136" s="1091"/>
    </row>
    <row r="137" spans="1:19">
      <c r="A137" s="1091">
        <v>921</v>
      </c>
      <c r="B137" s="1091" t="s">
        <v>374</v>
      </c>
      <c r="C137" s="1091">
        <v>133744</v>
      </c>
      <c r="D137" s="1091">
        <v>9211102</v>
      </c>
      <c r="E137" s="1091">
        <v>1102</v>
      </c>
      <c r="F137" s="1091" t="s">
        <v>375</v>
      </c>
      <c r="G137" s="1091">
        <v>12</v>
      </c>
      <c r="H137" s="1092">
        <v>1620114</v>
      </c>
      <c r="I137" s="1092">
        <v>55083.876000000004</v>
      </c>
      <c r="J137" s="1091"/>
      <c r="K137" s="1091" t="s">
        <v>182</v>
      </c>
      <c r="L137" s="1092"/>
      <c r="M137" s="1093"/>
      <c r="S137" s="1091"/>
    </row>
    <row r="138" spans="1:19">
      <c r="A138" s="1091">
        <v>206</v>
      </c>
      <c r="B138" s="1091" t="s">
        <v>376</v>
      </c>
      <c r="C138" s="1091">
        <v>100391</v>
      </c>
      <c r="D138" s="1091">
        <v>2061104</v>
      </c>
      <c r="E138" s="1091">
        <v>1104</v>
      </c>
      <c r="F138" s="1091" t="s">
        <v>377</v>
      </c>
      <c r="G138" s="1091">
        <v>12</v>
      </c>
      <c r="H138" s="1092">
        <v>3781772</v>
      </c>
      <c r="I138" s="1092">
        <v>128580.24800000001</v>
      </c>
      <c r="J138" s="1091" t="s">
        <v>378</v>
      </c>
      <c r="K138" s="1091" t="s">
        <v>182</v>
      </c>
      <c r="L138" s="1092"/>
      <c r="M138" s="1093"/>
      <c r="S138" s="1091"/>
    </row>
    <row r="139" spans="1:19">
      <c r="A139" s="1091">
        <v>206</v>
      </c>
      <c r="B139" s="1091" t="s">
        <v>376</v>
      </c>
      <c r="C139" s="1091">
        <v>100388</v>
      </c>
      <c r="D139" s="1091">
        <v>2061101</v>
      </c>
      <c r="E139" s="1091">
        <v>1101</v>
      </c>
      <c r="F139" s="1091" t="s">
        <v>379</v>
      </c>
      <c r="G139" s="1091">
        <v>12</v>
      </c>
      <c r="H139" s="1092">
        <v>0</v>
      </c>
      <c r="J139" s="1091" t="s">
        <v>380</v>
      </c>
      <c r="K139" s="1091" t="s">
        <v>182</v>
      </c>
      <c r="L139" s="1092"/>
      <c r="M139" s="1093"/>
      <c r="S139" s="1091"/>
    </row>
    <row r="140" spans="1:19">
      <c r="A140" s="1091">
        <v>206</v>
      </c>
      <c r="B140" s="1091" t="s">
        <v>376</v>
      </c>
      <c r="C140" s="1091">
        <v>134274</v>
      </c>
      <c r="D140" s="1091">
        <v>2061110</v>
      </c>
      <c r="E140" s="1091">
        <v>1110</v>
      </c>
      <c r="F140" s="1091" t="s">
        <v>381</v>
      </c>
      <c r="G140" s="1091">
        <v>12</v>
      </c>
      <c r="H140" s="1092">
        <v>0</v>
      </c>
      <c r="J140" s="1091" t="s">
        <v>380</v>
      </c>
      <c r="K140" s="1091" t="s">
        <v>182</v>
      </c>
      <c r="L140" s="1092"/>
      <c r="M140" s="1093"/>
      <c r="S140" s="1091"/>
    </row>
    <row r="141" spans="1:19">
      <c r="A141" s="1091">
        <v>206</v>
      </c>
      <c r="B141" s="1091" t="s">
        <v>376</v>
      </c>
      <c r="C141" s="1091">
        <v>141130</v>
      </c>
      <c r="D141" s="1091">
        <v>2061112</v>
      </c>
      <c r="E141" s="1091">
        <v>1112</v>
      </c>
      <c r="F141" s="1091" t="s">
        <v>382</v>
      </c>
      <c r="G141" s="1091">
        <v>12</v>
      </c>
      <c r="H141" s="1092">
        <v>1581055</v>
      </c>
      <c r="I141" s="1092">
        <v>53755.87</v>
      </c>
      <c r="J141" s="1091"/>
      <c r="K141" s="1091" t="s">
        <v>188</v>
      </c>
      <c r="L141" s="1092"/>
      <c r="M141" s="1093"/>
      <c r="S141" s="1091"/>
    </row>
    <row r="142" spans="1:19">
      <c r="A142" s="1091">
        <v>207</v>
      </c>
      <c r="B142" s="1091" t="s">
        <v>383</v>
      </c>
      <c r="C142" s="1091">
        <v>140807</v>
      </c>
      <c r="D142" s="1091">
        <v>2071100</v>
      </c>
      <c r="E142" s="1091">
        <v>1100</v>
      </c>
      <c r="F142" s="1091" t="s">
        <v>384</v>
      </c>
      <c r="G142" s="1091">
        <v>12</v>
      </c>
      <c r="H142" s="1092">
        <v>859512.5</v>
      </c>
      <c r="I142" s="1092">
        <v>29223.425000000003</v>
      </c>
      <c r="J142" s="1091"/>
      <c r="K142" s="1091" t="s">
        <v>188</v>
      </c>
      <c r="L142" s="1092"/>
      <c r="M142" s="1093"/>
      <c r="S142" s="1091"/>
    </row>
    <row r="143" spans="1:19">
      <c r="A143" s="1091">
        <v>886</v>
      </c>
      <c r="B143" s="1091" t="s">
        <v>385</v>
      </c>
      <c r="C143" s="1091">
        <v>135432</v>
      </c>
      <c r="D143" s="1091">
        <v>8861123</v>
      </c>
      <c r="E143" s="1091">
        <v>1123</v>
      </c>
      <c r="F143" s="1091" t="s">
        <v>386</v>
      </c>
      <c r="G143" s="1091">
        <v>12</v>
      </c>
      <c r="H143" s="1092">
        <v>3135874</v>
      </c>
      <c r="I143" s="1092">
        <v>106619.71600000001</v>
      </c>
      <c r="J143" s="1091"/>
      <c r="K143" s="1091" t="s">
        <v>182</v>
      </c>
      <c r="L143" s="1092"/>
      <c r="M143" s="1093"/>
      <c r="S143" s="1091"/>
    </row>
    <row r="144" spans="1:19">
      <c r="A144" s="1091">
        <v>886</v>
      </c>
      <c r="B144" s="1091" t="s">
        <v>385</v>
      </c>
      <c r="C144" s="1091">
        <v>135462</v>
      </c>
      <c r="D144" s="1091">
        <v>8861124</v>
      </c>
      <c r="E144" s="1091">
        <v>1124</v>
      </c>
      <c r="F144" s="1091" t="s">
        <v>387</v>
      </c>
      <c r="G144" s="1091">
        <v>12</v>
      </c>
      <c r="H144" s="1092">
        <v>496735</v>
      </c>
      <c r="I144" s="1092">
        <v>16888.990000000002</v>
      </c>
      <c r="J144" s="1091"/>
      <c r="K144" s="1091" t="s">
        <v>182</v>
      </c>
      <c r="L144" s="1092"/>
      <c r="M144" s="1093"/>
      <c r="S144" s="1091"/>
    </row>
    <row r="145" spans="1:19">
      <c r="A145" s="1091">
        <v>886</v>
      </c>
      <c r="B145" s="1091" t="s">
        <v>385</v>
      </c>
      <c r="C145" s="1091">
        <v>135466</v>
      </c>
      <c r="D145" s="1091">
        <v>8861128</v>
      </c>
      <c r="E145" s="1091">
        <v>1128</v>
      </c>
      <c r="F145" s="1091" t="s">
        <v>388</v>
      </c>
      <c r="G145" s="1091">
        <v>12</v>
      </c>
      <c r="H145" s="1092">
        <v>1532520</v>
      </c>
      <c r="I145" s="1092">
        <v>52105.68</v>
      </c>
      <c r="J145" s="1091"/>
      <c r="K145" s="1091" t="s">
        <v>182</v>
      </c>
      <c r="L145" s="1092"/>
      <c r="M145" s="1093"/>
      <c r="S145" s="1091"/>
    </row>
    <row r="146" spans="1:19">
      <c r="A146" s="1091">
        <v>886</v>
      </c>
      <c r="B146" s="1091" t="s">
        <v>385</v>
      </c>
      <c r="C146" s="1091">
        <v>135465</v>
      </c>
      <c r="D146" s="1091">
        <v>8861127</v>
      </c>
      <c r="E146" s="1091">
        <v>1127</v>
      </c>
      <c r="F146" s="1091" t="s">
        <v>389</v>
      </c>
      <c r="G146" s="1091">
        <v>12</v>
      </c>
      <c r="H146" s="1092">
        <v>948603</v>
      </c>
      <c r="I146" s="1092">
        <v>32252.502000000004</v>
      </c>
      <c r="J146" s="1091"/>
      <c r="K146" s="1091" t="s">
        <v>182</v>
      </c>
      <c r="L146" s="1092"/>
      <c r="M146" s="1093"/>
      <c r="S146" s="1091"/>
    </row>
    <row r="147" spans="1:19">
      <c r="A147" s="1091">
        <v>886</v>
      </c>
      <c r="B147" s="1091" t="s">
        <v>385</v>
      </c>
      <c r="C147" s="1091">
        <v>135467</v>
      </c>
      <c r="D147" s="1091">
        <v>8861129</v>
      </c>
      <c r="E147" s="1091">
        <v>1129</v>
      </c>
      <c r="F147" s="1091" t="s">
        <v>390</v>
      </c>
      <c r="G147" s="1091">
        <v>12</v>
      </c>
      <c r="H147" s="1092">
        <v>955048</v>
      </c>
      <c r="I147" s="1092">
        <v>32471.632000000001</v>
      </c>
      <c r="J147" s="1091"/>
      <c r="K147" s="1091" t="s">
        <v>182</v>
      </c>
      <c r="L147" s="1092"/>
      <c r="M147" s="1093"/>
      <c r="S147" s="1091"/>
    </row>
    <row r="148" spans="1:19">
      <c r="A148" s="1091">
        <v>886</v>
      </c>
      <c r="B148" s="1091" t="s">
        <v>385</v>
      </c>
      <c r="C148" s="1091">
        <v>148144</v>
      </c>
      <c r="D148" s="1091">
        <v>8861132</v>
      </c>
      <c r="E148" s="1091">
        <v>1132</v>
      </c>
      <c r="F148" s="1091" t="s">
        <v>391</v>
      </c>
      <c r="G148" s="1091">
        <v>12</v>
      </c>
      <c r="H148" s="1092">
        <v>1767090</v>
      </c>
      <c r="I148" s="1092">
        <v>60081.060000000005</v>
      </c>
      <c r="J148" s="1091"/>
      <c r="K148" s="1091" t="s">
        <v>188</v>
      </c>
      <c r="L148" s="1092"/>
      <c r="M148" s="1093"/>
      <c r="S148" s="1091"/>
    </row>
    <row r="149" spans="1:19">
      <c r="A149" s="1091">
        <v>810</v>
      </c>
      <c r="B149" s="1091" t="s">
        <v>392</v>
      </c>
      <c r="C149" s="1091">
        <v>141037</v>
      </c>
      <c r="D149" s="1091">
        <v>8101104</v>
      </c>
      <c r="E149" s="1091">
        <v>1104</v>
      </c>
      <c r="F149" s="1091" t="s">
        <v>393</v>
      </c>
      <c r="G149" s="1091">
        <v>12</v>
      </c>
      <c r="H149" s="1092">
        <v>3271150</v>
      </c>
      <c r="I149" s="1092">
        <v>111219.1</v>
      </c>
      <c r="J149" s="1091"/>
      <c r="K149" s="1091" t="s">
        <v>188</v>
      </c>
      <c r="L149" s="1092"/>
      <c r="M149" s="1093"/>
      <c r="S149" s="1091"/>
    </row>
    <row r="150" spans="1:19">
      <c r="A150" s="1091">
        <v>810</v>
      </c>
      <c r="B150" s="1091" t="s">
        <v>392</v>
      </c>
      <c r="C150" s="1091">
        <v>148588</v>
      </c>
      <c r="D150" s="1091">
        <v>8101105</v>
      </c>
      <c r="E150" s="1091">
        <v>1105</v>
      </c>
      <c r="F150" s="1091" t="s">
        <v>394</v>
      </c>
      <c r="G150" s="1091">
        <v>12</v>
      </c>
      <c r="H150" s="1092">
        <v>744154.16666666663</v>
      </c>
      <c r="I150" s="1092">
        <v>25301.241666666669</v>
      </c>
      <c r="J150" s="1091"/>
      <c r="K150" s="1091" t="s">
        <v>188</v>
      </c>
      <c r="L150" s="1092"/>
      <c r="M150" s="1093"/>
      <c r="S150" s="1091"/>
    </row>
    <row r="151" spans="1:19">
      <c r="A151" s="1091">
        <v>810</v>
      </c>
      <c r="B151" s="1091" t="s">
        <v>392</v>
      </c>
      <c r="C151" s="1091">
        <v>144422</v>
      </c>
      <c r="D151" s="1091">
        <v>8101102</v>
      </c>
      <c r="E151" s="1091">
        <v>1102</v>
      </c>
      <c r="F151" s="1091" t="s">
        <v>395</v>
      </c>
      <c r="G151" s="1091">
        <v>12</v>
      </c>
      <c r="H151" s="1092">
        <v>2923655</v>
      </c>
      <c r="I151" s="1092">
        <v>99404.27</v>
      </c>
      <c r="J151" s="1091"/>
      <c r="K151" s="1091" t="s">
        <v>188</v>
      </c>
      <c r="L151" s="1092"/>
      <c r="M151" s="1093"/>
      <c r="S151" s="1091"/>
    </row>
    <row r="152" spans="1:19">
      <c r="A152" s="1091">
        <v>810</v>
      </c>
      <c r="B152" s="1091" t="s">
        <v>392</v>
      </c>
      <c r="C152" s="1091">
        <v>139483</v>
      </c>
      <c r="D152" s="1091">
        <v>8101103</v>
      </c>
      <c r="E152" s="1091">
        <v>1103</v>
      </c>
      <c r="F152" s="1091" t="s">
        <v>396</v>
      </c>
      <c r="G152" s="1091">
        <v>12</v>
      </c>
      <c r="H152" s="1092">
        <v>644422.5</v>
      </c>
      <c r="I152" s="1092">
        <v>21910.365000000002</v>
      </c>
      <c r="J152" s="1091"/>
      <c r="K152" s="1091" t="s">
        <v>188</v>
      </c>
      <c r="L152" s="1092"/>
      <c r="M152" s="1093"/>
      <c r="S152" s="1091"/>
    </row>
    <row r="153" spans="1:19">
      <c r="A153" s="1091">
        <v>810</v>
      </c>
      <c r="B153" s="1091" t="s">
        <v>392</v>
      </c>
      <c r="C153" s="1091">
        <v>142258</v>
      </c>
      <c r="D153" s="1091">
        <v>8101112</v>
      </c>
      <c r="E153" s="1091">
        <v>1112</v>
      </c>
      <c r="F153" s="1091" t="s">
        <v>397</v>
      </c>
      <c r="G153" s="1091">
        <v>12</v>
      </c>
      <c r="H153" s="1092">
        <v>936927.5</v>
      </c>
      <c r="I153" s="1092">
        <v>31855.535000000003</v>
      </c>
      <c r="J153" s="1091"/>
      <c r="K153" s="1091" t="s">
        <v>188</v>
      </c>
      <c r="L153" s="1092"/>
      <c r="M153" s="1093"/>
      <c r="S153" s="1091"/>
    </row>
    <row r="154" spans="1:19">
      <c r="A154" s="1091">
        <v>810</v>
      </c>
      <c r="B154" s="1091" t="s">
        <v>392</v>
      </c>
      <c r="C154" s="1091">
        <v>143222</v>
      </c>
      <c r="D154" s="1091">
        <v>8101106</v>
      </c>
      <c r="E154" s="1091">
        <v>1106</v>
      </c>
      <c r="F154" s="1091" t="s">
        <v>398</v>
      </c>
      <c r="G154" s="1091">
        <v>12</v>
      </c>
      <c r="H154" s="1092">
        <v>941990</v>
      </c>
      <c r="I154" s="1092">
        <v>32027.660000000003</v>
      </c>
      <c r="J154" s="1091"/>
      <c r="K154" s="1091" t="s">
        <v>188</v>
      </c>
      <c r="L154" s="1092"/>
      <c r="M154" s="1093"/>
      <c r="S154" s="1091"/>
    </row>
    <row r="155" spans="1:19">
      <c r="A155" s="1091">
        <v>810</v>
      </c>
      <c r="B155" s="1091" t="s">
        <v>392</v>
      </c>
      <c r="C155" s="1091">
        <v>142259</v>
      </c>
      <c r="D155" s="1091">
        <v>8101100</v>
      </c>
      <c r="E155" s="1091">
        <v>1100</v>
      </c>
      <c r="F155" s="1091" t="s">
        <v>399</v>
      </c>
      <c r="G155" s="1091">
        <v>12</v>
      </c>
      <c r="H155" s="1092">
        <v>806585</v>
      </c>
      <c r="I155" s="1092">
        <v>27423.890000000003</v>
      </c>
      <c r="J155" s="1091"/>
      <c r="K155" s="1091" t="s">
        <v>188</v>
      </c>
      <c r="L155" s="1092"/>
      <c r="M155" s="1093"/>
      <c r="S155" s="1091"/>
    </row>
    <row r="156" spans="1:19">
      <c r="A156" s="1091">
        <v>314</v>
      </c>
      <c r="B156" s="1091" t="s">
        <v>400</v>
      </c>
      <c r="C156" s="1091">
        <v>102562</v>
      </c>
      <c r="D156" s="1091">
        <v>3141101</v>
      </c>
      <c r="E156" s="1091">
        <v>1101</v>
      </c>
      <c r="F156" s="1091" t="s">
        <v>401</v>
      </c>
      <c r="G156" s="1091">
        <v>12</v>
      </c>
      <c r="H156" s="1092">
        <v>2928326</v>
      </c>
      <c r="I156" s="1092">
        <v>99563.084000000003</v>
      </c>
      <c r="J156" s="1091"/>
      <c r="K156" s="1091" t="s">
        <v>182</v>
      </c>
      <c r="L156" s="1092"/>
      <c r="M156" s="1093"/>
      <c r="S156" s="1091"/>
    </row>
    <row r="157" spans="1:19">
      <c r="A157" s="1091">
        <v>382</v>
      </c>
      <c r="B157" s="1091" t="s">
        <v>402</v>
      </c>
      <c r="C157" s="1091">
        <v>145432</v>
      </c>
      <c r="D157" s="1091">
        <v>3821102</v>
      </c>
      <c r="E157" s="1091">
        <v>1102</v>
      </c>
      <c r="F157" s="1091" t="s">
        <v>403</v>
      </c>
      <c r="G157" s="1091">
        <v>12</v>
      </c>
      <c r="H157" s="1092">
        <v>1130895</v>
      </c>
      <c r="I157" s="1092">
        <v>38450.43</v>
      </c>
      <c r="J157" s="1091"/>
      <c r="K157" s="1091" t="s">
        <v>188</v>
      </c>
      <c r="L157" s="1092"/>
      <c r="M157" s="1093"/>
      <c r="S157" s="1091"/>
    </row>
    <row r="158" spans="1:19">
      <c r="A158" s="1091">
        <v>382</v>
      </c>
      <c r="B158" s="1091" t="s">
        <v>402</v>
      </c>
      <c r="C158" s="1091">
        <v>145433</v>
      </c>
      <c r="D158" s="1091">
        <v>3821101</v>
      </c>
      <c r="E158" s="1091">
        <v>1101</v>
      </c>
      <c r="F158" s="1091" t="s">
        <v>404</v>
      </c>
      <c r="G158" s="1091">
        <v>12</v>
      </c>
      <c r="H158" s="1092">
        <v>1531360</v>
      </c>
      <c r="I158" s="1092">
        <v>52066.240000000005</v>
      </c>
      <c r="J158" s="1091"/>
      <c r="K158" s="1091" t="s">
        <v>188</v>
      </c>
      <c r="L158" s="1092"/>
      <c r="M158" s="1093"/>
      <c r="S158" s="1091"/>
    </row>
    <row r="159" spans="1:19">
      <c r="A159" s="1091">
        <v>382</v>
      </c>
      <c r="B159" s="1091" t="s">
        <v>402</v>
      </c>
      <c r="C159" s="1091">
        <v>145434</v>
      </c>
      <c r="D159" s="1091">
        <v>3821100</v>
      </c>
      <c r="E159" s="1091">
        <v>1100</v>
      </c>
      <c r="F159" s="1091" t="s">
        <v>405</v>
      </c>
      <c r="G159" s="1091">
        <v>12</v>
      </c>
      <c r="H159" s="1092">
        <v>1515495</v>
      </c>
      <c r="I159" s="1092">
        <v>51526.83</v>
      </c>
      <c r="J159" s="1091"/>
      <c r="K159" s="1091" t="s">
        <v>188</v>
      </c>
      <c r="L159" s="1092"/>
      <c r="M159" s="1093"/>
      <c r="S159" s="1091"/>
    </row>
    <row r="160" spans="1:19">
      <c r="A160" s="1091">
        <v>340</v>
      </c>
      <c r="B160" s="1091" t="s">
        <v>406</v>
      </c>
      <c r="C160" s="1091">
        <v>104418</v>
      </c>
      <c r="D160" s="1091">
        <v>3401100</v>
      </c>
      <c r="E160" s="1091">
        <v>1100</v>
      </c>
      <c r="F160" s="1091" t="s">
        <v>407</v>
      </c>
      <c r="G160" s="1091">
        <v>12</v>
      </c>
      <c r="H160" s="1092">
        <v>2320580</v>
      </c>
      <c r="I160" s="1092">
        <v>78899.72</v>
      </c>
      <c r="J160" s="1091"/>
      <c r="K160" s="1091" t="s">
        <v>182</v>
      </c>
      <c r="L160" s="1092"/>
      <c r="M160" s="1093"/>
      <c r="S160" s="1091"/>
    </row>
    <row r="161" spans="1:19">
      <c r="A161" s="1091">
        <v>208</v>
      </c>
      <c r="B161" s="1091" t="s">
        <v>408</v>
      </c>
      <c r="C161" s="1091">
        <v>140908</v>
      </c>
      <c r="D161" s="1091">
        <v>2081102</v>
      </c>
      <c r="E161" s="1091">
        <v>1102</v>
      </c>
      <c r="F161" s="1091" t="s">
        <v>409</v>
      </c>
      <c r="G161" s="1091">
        <v>12</v>
      </c>
      <c r="H161" s="1092">
        <v>1380170</v>
      </c>
      <c r="I161" s="1092">
        <v>46925.780000000006</v>
      </c>
      <c r="J161" s="1091"/>
      <c r="K161" s="1091" t="s">
        <v>188</v>
      </c>
      <c r="L161" s="1092"/>
      <c r="M161" s="1093"/>
      <c r="S161" s="1091"/>
    </row>
    <row r="162" spans="1:19">
      <c r="A162" s="1091">
        <v>208</v>
      </c>
      <c r="B162" s="1091" t="s">
        <v>408</v>
      </c>
      <c r="C162" s="1091">
        <v>140907</v>
      </c>
      <c r="D162" s="1091">
        <v>2081106</v>
      </c>
      <c r="E162" s="1091">
        <v>1106</v>
      </c>
      <c r="F162" s="1091" t="s">
        <v>410</v>
      </c>
      <c r="G162" s="1091">
        <v>12</v>
      </c>
      <c r="H162" s="1092">
        <v>1536575</v>
      </c>
      <c r="I162" s="1092">
        <v>52243.55</v>
      </c>
      <c r="J162" s="1091"/>
      <c r="K162" s="1091" t="s">
        <v>188</v>
      </c>
      <c r="L162" s="1092"/>
      <c r="M162" s="1093"/>
      <c r="S162" s="1091"/>
    </row>
    <row r="163" spans="1:19">
      <c r="A163" s="1091">
        <v>888</v>
      </c>
      <c r="B163" s="1091" t="s">
        <v>411</v>
      </c>
      <c r="C163" s="1091">
        <v>142054</v>
      </c>
      <c r="D163" s="1091">
        <v>8881112</v>
      </c>
      <c r="E163" s="1091">
        <v>1112</v>
      </c>
      <c r="F163" s="1091" t="s">
        <v>412</v>
      </c>
      <c r="G163" s="1091">
        <v>12</v>
      </c>
      <c r="H163" s="1092">
        <v>2619727.5</v>
      </c>
      <c r="I163" s="1092">
        <v>89070.735000000001</v>
      </c>
      <c r="J163" s="1091"/>
      <c r="K163" s="1091" t="s">
        <v>188</v>
      </c>
      <c r="L163" s="1092"/>
      <c r="M163" s="1093"/>
      <c r="S163" s="1091"/>
    </row>
    <row r="164" spans="1:19">
      <c r="A164" s="1091">
        <v>888</v>
      </c>
      <c r="B164" s="1091" t="s">
        <v>411</v>
      </c>
      <c r="C164" s="1091">
        <v>119106</v>
      </c>
      <c r="D164" s="1091">
        <v>8881103</v>
      </c>
      <c r="E164" s="1091">
        <v>1103</v>
      </c>
      <c r="F164" s="1091" t="s">
        <v>413</v>
      </c>
      <c r="G164" s="1091">
        <v>12</v>
      </c>
      <c r="H164" s="1092">
        <v>692540</v>
      </c>
      <c r="I164" s="1092">
        <v>23546.36</v>
      </c>
      <c r="J164" s="1091"/>
      <c r="K164" s="1091" t="s">
        <v>182</v>
      </c>
      <c r="L164" s="1092"/>
      <c r="M164" s="1093"/>
      <c r="S164" s="1091"/>
    </row>
    <row r="165" spans="1:19">
      <c r="A165" s="1091">
        <v>888</v>
      </c>
      <c r="B165" s="1091" t="s">
        <v>411</v>
      </c>
      <c r="C165" s="1091">
        <v>134872</v>
      </c>
      <c r="D165" s="1091">
        <v>8881118</v>
      </c>
      <c r="E165" s="1091">
        <v>1118</v>
      </c>
      <c r="F165" s="1091" t="s">
        <v>414</v>
      </c>
      <c r="G165" s="1091">
        <v>12</v>
      </c>
      <c r="H165" s="1092">
        <v>1105376</v>
      </c>
      <c r="I165" s="1092">
        <v>37582.784</v>
      </c>
      <c r="J165" s="1091"/>
      <c r="K165" s="1091" t="s">
        <v>182</v>
      </c>
      <c r="L165" s="1092"/>
      <c r="M165" s="1093"/>
      <c r="S165" s="1091"/>
    </row>
    <row r="166" spans="1:19">
      <c r="A166" s="1091">
        <v>888</v>
      </c>
      <c r="B166" s="1091" t="s">
        <v>411</v>
      </c>
      <c r="C166" s="1091">
        <v>119103</v>
      </c>
      <c r="D166" s="1091">
        <v>8881100</v>
      </c>
      <c r="E166" s="1091">
        <v>1100</v>
      </c>
      <c r="F166" s="1091" t="s">
        <v>415</v>
      </c>
      <c r="G166" s="1091">
        <v>12</v>
      </c>
      <c r="H166" s="1092">
        <v>476044</v>
      </c>
      <c r="I166" s="1092">
        <v>16185.496000000001</v>
      </c>
      <c r="J166" s="1091"/>
      <c r="K166" s="1091" t="s">
        <v>182</v>
      </c>
      <c r="L166" s="1092"/>
      <c r="M166" s="1093"/>
      <c r="S166" s="1091"/>
    </row>
    <row r="167" spans="1:19">
      <c r="A167" s="1091">
        <v>888</v>
      </c>
      <c r="B167" s="1091" t="s">
        <v>411</v>
      </c>
      <c r="C167" s="1091">
        <v>134130</v>
      </c>
      <c r="D167" s="1091">
        <v>8881116</v>
      </c>
      <c r="E167" s="1091">
        <v>1116</v>
      </c>
      <c r="F167" s="1091" t="s">
        <v>416</v>
      </c>
      <c r="G167" s="1091">
        <v>12</v>
      </c>
      <c r="H167" s="1092">
        <v>1942307</v>
      </c>
      <c r="I167" s="1092">
        <v>66038.438000000009</v>
      </c>
      <c r="J167" s="1091"/>
      <c r="K167" s="1091" t="s">
        <v>182</v>
      </c>
      <c r="L167" s="1092"/>
      <c r="M167" s="1093"/>
      <c r="S167" s="1091"/>
    </row>
    <row r="168" spans="1:19">
      <c r="A168" s="1091">
        <v>888</v>
      </c>
      <c r="B168" s="1091" t="s">
        <v>411</v>
      </c>
      <c r="C168" s="1091">
        <v>134367</v>
      </c>
      <c r="D168" s="1091">
        <v>8881117</v>
      </c>
      <c r="E168" s="1091">
        <v>1117</v>
      </c>
      <c r="F168" s="1091" t="s">
        <v>417</v>
      </c>
      <c r="G168" s="1091">
        <v>12</v>
      </c>
      <c r="H168" s="1092">
        <v>1850697</v>
      </c>
      <c r="I168" s="1092">
        <v>62923.698000000004</v>
      </c>
      <c r="J168" s="1091"/>
      <c r="K168" s="1091" t="s">
        <v>182</v>
      </c>
      <c r="L168" s="1092"/>
      <c r="M168" s="1093"/>
      <c r="S168" s="1091"/>
    </row>
    <row r="169" spans="1:19">
      <c r="A169" s="1091">
        <v>888</v>
      </c>
      <c r="B169" s="1091" t="s">
        <v>411</v>
      </c>
      <c r="C169" s="1091">
        <v>133398</v>
      </c>
      <c r="D169" s="1091">
        <v>8881121</v>
      </c>
      <c r="E169" s="1091">
        <v>1121</v>
      </c>
      <c r="F169" s="1091" t="s">
        <v>418</v>
      </c>
      <c r="G169" s="1091">
        <v>12</v>
      </c>
      <c r="H169" s="1092">
        <v>1119445</v>
      </c>
      <c r="I169" s="1092">
        <v>38061.130000000005</v>
      </c>
      <c r="J169" s="1091"/>
      <c r="K169" s="1091" t="s">
        <v>182</v>
      </c>
      <c r="L169" s="1092"/>
      <c r="M169" s="1093"/>
      <c r="S169" s="1091"/>
    </row>
    <row r="170" spans="1:19">
      <c r="A170" s="1091">
        <v>888</v>
      </c>
      <c r="B170" s="1091" t="s">
        <v>411</v>
      </c>
      <c r="C170" s="1091">
        <v>134127</v>
      </c>
      <c r="D170" s="1091">
        <v>8881113</v>
      </c>
      <c r="E170" s="1091">
        <v>1113</v>
      </c>
      <c r="F170" s="1091" t="s">
        <v>419</v>
      </c>
      <c r="G170" s="1091">
        <v>12</v>
      </c>
      <c r="H170" s="1092">
        <v>1417612</v>
      </c>
      <c r="I170" s="1092">
        <v>48198.808000000005</v>
      </c>
      <c r="J170" s="1091"/>
      <c r="K170" s="1091" t="s">
        <v>182</v>
      </c>
      <c r="L170" s="1092"/>
      <c r="M170" s="1093"/>
      <c r="S170" s="1091"/>
    </row>
    <row r="171" spans="1:19">
      <c r="A171" s="1091">
        <v>888</v>
      </c>
      <c r="B171" s="1091" t="s">
        <v>411</v>
      </c>
      <c r="C171" s="1091">
        <v>119112</v>
      </c>
      <c r="D171" s="1091">
        <v>8881109</v>
      </c>
      <c r="E171" s="1091">
        <v>1109</v>
      </c>
      <c r="F171" s="1091" t="s">
        <v>420</v>
      </c>
      <c r="G171" s="1091">
        <v>12</v>
      </c>
      <c r="H171" s="1092">
        <v>1832712</v>
      </c>
      <c r="I171" s="1092">
        <v>62312.208000000006</v>
      </c>
      <c r="J171" s="1091"/>
      <c r="K171" s="1091" t="s">
        <v>182</v>
      </c>
      <c r="L171" s="1092"/>
      <c r="M171" s="1093"/>
      <c r="S171" s="1091"/>
    </row>
    <row r="172" spans="1:19">
      <c r="A172" s="1091">
        <v>888</v>
      </c>
      <c r="B172" s="1091" t="s">
        <v>411</v>
      </c>
      <c r="C172" s="1091">
        <v>145918</v>
      </c>
      <c r="D172" s="1091">
        <v>8881124</v>
      </c>
      <c r="E172" s="1091">
        <v>1124</v>
      </c>
      <c r="F172" s="1091" t="s">
        <v>421</v>
      </c>
      <c r="G172" s="1091">
        <v>12</v>
      </c>
      <c r="H172" s="1092">
        <v>1675000</v>
      </c>
      <c r="I172" s="1092">
        <v>56950.000000000007</v>
      </c>
      <c r="J172" s="1091"/>
      <c r="K172" s="1091" t="s">
        <v>188</v>
      </c>
      <c r="L172" s="1092"/>
      <c r="M172" s="1093"/>
      <c r="S172" s="1091"/>
    </row>
    <row r="173" spans="1:19">
      <c r="A173" s="1091">
        <v>383</v>
      </c>
      <c r="B173" s="1091" t="s">
        <v>422</v>
      </c>
      <c r="C173" s="1091">
        <v>141140</v>
      </c>
      <c r="D173" s="1091">
        <v>3831112</v>
      </c>
      <c r="E173" s="1091">
        <v>1112</v>
      </c>
      <c r="F173" s="1091" t="s">
        <v>423</v>
      </c>
      <c r="G173" s="1091">
        <v>12</v>
      </c>
      <c r="H173" s="1092">
        <v>1619567.5</v>
      </c>
      <c r="I173" s="1092">
        <v>55065.295000000006</v>
      </c>
      <c r="J173" s="1091"/>
      <c r="K173" s="1091" t="s">
        <v>188</v>
      </c>
      <c r="L173" s="1092"/>
      <c r="M173" s="1093"/>
      <c r="S173" s="1091"/>
    </row>
    <row r="174" spans="1:19">
      <c r="A174" s="1091">
        <v>383</v>
      </c>
      <c r="B174" s="1091" t="s">
        <v>422</v>
      </c>
      <c r="C174" s="1091">
        <v>143761</v>
      </c>
      <c r="D174" s="1091">
        <v>3831113</v>
      </c>
      <c r="E174" s="1091">
        <v>1113</v>
      </c>
      <c r="F174" s="1091" t="s">
        <v>424</v>
      </c>
      <c r="G174" s="1091">
        <v>12</v>
      </c>
      <c r="H174" s="1092">
        <v>2129000</v>
      </c>
      <c r="I174" s="1092">
        <v>72386</v>
      </c>
      <c r="J174" s="1091"/>
      <c r="K174" s="1091" t="s">
        <v>188</v>
      </c>
      <c r="L174" s="1092"/>
      <c r="M174" s="1093"/>
      <c r="S174" s="1091"/>
    </row>
    <row r="175" spans="1:19">
      <c r="A175" s="1091">
        <v>856</v>
      </c>
      <c r="B175" s="1091" t="s">
        <v>425</v>
      </c>
      <c r="C175" s="1091">
        <v>131535</v>
      </c>
      <c r="D175" s="1091">
        <v>8561103</v>
      </c>
      <c r="E175" s="1091">
        <v>1103</v>
      </c>
      <c r="F175" s="1091" t="s">
        <v>426</v>
      </c>
      <c r="G175" s="1091">
        <v>12</v>
      </c>
      <c r="H175" s="1092">
        <v>2656406</v>
      </c>
      <c r="I175" s="1092">
        <v>90317.804000000004</v>
      </c>
      <c r="J175" s="1091"/>
      <c r="K175" s="1091" t="s">
        <v>182</v>
      </c>
      <c r="L175" s="1092"/>
      <c r="M175" s="1093"/>
      <c r="S175" s="1091"/>
    </row>
    <row r="176" spans="1:19">
      <c r="A176" s="1091">
        <v>856</v>
      </c>
      <c r="B176" s="1091" t="s">
        <v>425</v>
      </c>
      <c r="C176" s="1091">
        <v>132824</v>
      </c>
      <c r="D176" s="1091">
        <v>8561100</v>
      </c>
      <c r="E176" s="1091">
        <v>1100</v>
      </c>
      <c r="F176" s="1091" t="s">
        <v>427</v>
      </c>
      <c r="G176" s="1091">
        <v>12</v>
      </c>
      <c r="H176" s="1092">
        <v>1150390</v>
      </c>
      <c r="I176" s="1092">
        <v>39113.26</v>
      </c>
      <c r="J176" s="1091"/>
      <c r="K176" s="1091" t="s">
        <v>182</v>
      </c>
      <c r="L176" s="1092"/>
      <c r="M176" s="1093"/>
      <c r="S176" s="1091"/>
    </row>
    <row r="177" spans="1:19">
      <c r="A177" s="1091">
        <v>855</v>
      </c>
      <c r="B177" s="1091" t="s">
        <v>428</v>
      </c>
      <c r="C177" s="1091">
        <v>136754</v>
      </c>
      <c r="D177" s="1091">
        <v>8551102</v>
      </c>
      <c r="E177" s="1091">
        <v>1102</v>
      </c>
      <c r="F177" s="1091" t="s">
        <v>429</v>
      </c>
      <c r="G177" s="1091">
        <v>12</v>
      </c>
      <c r="H177" s="1092">
        <v>1595227</v>
      </c>
      <c r="I177" s="1092">
        <v>54237.718000000001</v>
      </c>
      <c r="J177" s="1091"/>
      <c r="K177" s="1091" t="s">
        <v>182</v>
      </c>
      <c r="L177" s="1092"/>
      <c r="M177" s="1093"/>
      <c r="S177" s="1091"/>
    </row>
    <row r="178" spans="1:19">
      <c r="A178" s="1091">
        <v>209</v>
      </c>
      <c r="B178" s="1091" t="s">
        <v>430</v>
      </c>
      <c r="C178" s="1091">
        <v>130856</v>
      </c>
      <c r="D178" s="1091">
        <v>2091103</v>
      </c>
      <c r="E178" s="1091">
        <v>1103</v>
      </c>
      <c r="F178" s="1091" t="s">
        <v>431</v>
      </c>
      <c r="G178" s="1091">
        <v>12</v>
      </c>
      <c r="H178" s="1092">
        <v>3989103</v>
      </c>
      <c r="I178" s="1092">
        <v>135629.50200000001</v>
      </c>
      <c r="J178" s="1091"/>
      <c r="K178" s="1091" t="s">
        <v>182</v>
      </c>
      <c r="L178" s="1092"/>
      <c r="M178" s="1093"/>
      <c r="S178" s="1091"/>
    </row>
    <row r="179" spans="1:19">
      <c r="A179" s="1091">
        <v>925</v>
      </c>
      <c r="B179" s="1091" t="s">
        <v>432</v>
      </c>
      <c r="C179" s="1091">
        <v>139774</v>
      </c>
      <c r="D179" s="1091">
        <v>9251106</v>
      </c>
      <c r="E179" s="1091">
        <v>1106</v>
      </c>
      <c r="F179" s="1091" t="s">
        <v>433</v>
      </c>
      <c r="G179" s="1091">
        <v>12</v>
      </c>
      <c r="H179" s="1092">
        <v>677000</v>
      </c>
      <c r="I179" s="1092">
        <v>23018</v>
      </c>
      <c r="J179" s="1091"/>
      <c r="K179" s="1091" t="s">
        <v>188</v>
      </c>
      <c r="L179" s="1092"/>
      <c r="M179" s="1093"/>
      <c r="S179" s="1091"/>
    </row>
    <row r="180" spans="1:19">
      <c r="A180" s="1091">
        <v>925</v>
      </c>
      <c r="B180" s="1091" t="s">
        <v>432</v>
      </c>
      <c r="C180" s="1091">
        <v>147197</v>
      </c>
      <c r="D180" s="1091">
        <v>9251119</v>
      </c>
      <c r="E180" s="1091">
        <v>1119</v>
      </c>
      <c r="F180" s="1091" t="s">
        <v>434</v>
      </c>
      <c r="G180" s="1091">
        <v>12</v>
      </c>
      <c r="H180" s="1092">
        <v>1485075</v>
      </c>
      <c r="I180" s="1095">
        <v>50492.549999999996</v>
      </c>
      <c r="J180" s="1091"/>
      <c r="K180" s="1091" t="s">
        <v>188</v>
      </c>
      <c r="L180" s="1092"/>
      <c r="M180" s="1093"/>
      <c r="S180" s="1091"/>
    </row>
    <row r="181" spans="1:19">
      <c r="A181" s="1091">
        <v>925</v>
      </c>
      <c r="B181" s="1091" t="s">
        <v>432</v>
      </c>
      <c r="C181" s="1091">
        <v>147195</v>
      </c>
      <c r="D181" s="1091">
        <v>9251117</v>
      </c>
      <c r="E181" s="1091">
        <v>1117</v>
      </c>
      <c r="F181" s="1091" t="s">
        <v>435</v>
      </c>
      <c r="G181" s="1091">
        <v>12</v>
      </c>
      <c r="H181" s="1092">
        <v>1486030</v>
      </c>
      <c r="I181" s="1095">
        <v>50525.02</v>
      </c>
      <c r="J181" s="1091"/>
      <c r="K181" s="1091" t="s">
        <v>188</v>
      </c>
      <c r="L181" s="1092"/>
      <c r="M181" s="1093"/>
      <c r="S181" s="1091"/>
    </row>
    <row r="182" spans="1:19">
      <c r="A182" s="1091">
        <v>925</v>
      </c>
      <c r="B182" s="1091" t="s">
        <v>432</v>
      </c>
      <c r="C182" s="1091">
        <v>147196</v>
      </c>
      <c r="D182" s="1091">
        <v>9251118</v>
      </c>
      <c r="E182" s="1091">
        <v>1118</v>
      </c>
      <c r="F182" s="1091" t="s">
        <v>436</v>
      </c>
      <c r="G182" s="1091">
        <v>12</v>
      </c>
      <c r="H182" s="1092">
        <v>1490980</v>
      </c>
      <c r="I182" s="1095">
        <v>50693.320000000007</v>
      </c>
      <c r="J182" s="1091"/>
      <c r="K182" s="1091" t="s">
        <v>188</v>
      </c>
      <c r="L182" s="1092"/>
      <c r="M182" s="1093"/>
      <c r="S182" s="1091"/>
    </row>
    <row r="183" spans="1:19">
      <c r="A183" s="1091">
        <v>925</v>
      </c>
      <c r="B183" s="1091" t="s">
        <v>432</v>
      </c>
      <c r="C183" s="1091">
        <v>144763</v>
      </c>
      <c r="D183" s="1091">
        <v>9251112</v>
      </c>
      <c r="E183" s="1091">
        <v>1112</v>
      </c>
      <c r="F183" s="1091" t="s">
        <v>437</v>
      </c>
      <c r="G183" s="1091">
        <v>12</v>
      </c>
      <c r="H183" s="1092">
        <v>1493670</v>
      </c>
      <c r="I183" s="1095">
        <v>50784.780000000006</v>
      </c>
      <c r="J183" s="1091"/>
      <c r="K183" s="1091" t="s">
        <v>188</v>
      </c>
      <c r="L183" s="1092"/>
      <c r="M183" s="1093"/>
      <c r="S183" s="1091"/>
    </row>
    <row r="184" spans="1:19">
      <c r="A184" s="1091">
        <v>925</v>
      </c>
      <c r="B184" s="1091" t="s">
        <v>432</v>
      </c>
      <c r="C184" s="1091">
        <v>144016</v>
      </c>
      <c r="D184" s="1091">
        <v>9251111</v>
      </c>
      <c r="E184" s="1091">
        <v>1111</v>
      </c>
      <c r="F184" s="1091" t="s">
        <v>438</v>
      </c>
      <c r="G184" s="1091"/>
      <c r="H184" s="1092" t="s">
        <v>439</v>
      </c>
      <c r="J184" s="1091"/>
      <c r="K184" s="1091" t="s">
        <v>188</v>
      </c>
      <c r="L184" s="1092"/>
      <c r="M184" s="1093"/>
      <c r="S184" s="1091"/>
    </row>
    <row r="185" spans="1:19">
      <c r="A185" s="1091">
        <v>341</v>
      </c>
      <c r="B185" s="1091" t="s">
        <v>440</v>
      </c>
      <c r="C185" s="1091">
        <v>143746</v>
      </c>
      <c r="D185" s="1091">
        <v>3411110</v>
      </c>
      <c r="E185" s="1091">
        <v>1110</v>
      </c>
      <c r="F185" s="1091" t="s">
        <v>441</v>
      </c>
      <c r="G185" s="1091">
        <v>12</v>
      </c>
      <c r="H185" s="1092">
        <v>418090</v>
      </c>
      <c r="I185" s="1092">
        <v>14215.060000000001</v>
      </c>
      <c r="J185" s="1091"/>
      <c r="K185" s="1091" t="s">
        <v>188</v>
      </c>
      <c r="L185" s="1092"/>
      <c r="M185" s="1093"/>
      <c r="S185" s="1091"/>
    </row>
    <row r="186" spans="1:19">
      <c r="A186" s="1091">
        <v>341</v>
      </c>
      <c r="B186" s="1091" t="s">
        <v>440</v>
      </c>
      <c r="C186" s="1091">
        <v>138379</v>
      </c>
      <c r="D186" s="1091">
        <v>3411109</v>
      </c>
      <c r="E186" s="1091">
        <v>1109</v>
      </c>
      <c r="F186" s="1091" t="s">
        <v>442</v>
      </c>
      <c r="G186" s="1091">
        <v>12</v>
      </c>
      <c r="H186" s="1092">
        <v>3968287.5</v>
      </c>
      <c r="I186" s="1092">
        <v>134921.77500000002</v>
      </c>
      <c r="J186" s="1091"/>
      <c r="K186" s="1091" t="s">
        <v>188</v>
      </c>
      <c r="L186" s="1092"/>
      <c r="M186" s="1093"/>
      <c r="S186" s="1091"/>
    </row>
    <row r="187" spans="1:19">
      <c r="A187" s="1091">
        <v>341</v>
      </c>
      <c r="B187" s="1091" t="s">
        <v>440</v>
      </c>
      <c r="C187" s="1091">
        <v>139114</v>
      </c>
      <c r="D187" s="1091">
        <v>3416005</v>
      </c>
      <c r="E187" s="1091">
        <v>6005</v>
      </c>
      <c r="F187" s="1091" t="s">
        <v>443</v>
      </c>
      <c r="G187" s="1091">
        <v>12</v>
      </c>
      <c r="H187" s="1092">
        <v>2565495</v>
      </c>
      <c r="I187" s="1092">
        <v>87226.83</v>
      </c>
      <c r="J187" s="1091"/>
      <c r="K187" s="1091" t="s">
        <v>188</v>
      </c>
      <c r="L187" s="1092"/>
      <c r="M187" s="1093"/>
      <c r="S187" s="1091"/>
    </row>
    <row r="188" spans="1:19">
      <c r="A188" s="1091">
        <v>341</v>
      </c>
      <c r="B188" s="1091" t="s">
        <v>440</v>
      </c>
      <c r="C188" s="1091">
        <v>135656</v>
      </c>
      <c r="D188" s="1091">
        <v>3411108</v>
      </c>
      <c r="E188" s="1091">
        <v>1108</v>
      </c>
      <c r="F188" s="1091" t="s">
        <v>444</v>
      </c>
      <c r="G188" s="1091">
        <v>12</v>
      </c>
      <c r="H188" s="1092">
        <v>3388917</v>
      </c>
      <c r="I188" s="1092">
        <v>115223.17800000001</v>
      </c>
      <c r="J188" s="1091"/>
      <c r="K188" s="1091" t="s">
        <v>182</v>
      </c>
      <c r="L188" s="1092"/>
      <c r="M188" s="1093"/>
      <c r="S188" s="1091"/>
    </row>
    <row r="189" spans="1:19">
      <c r="A189" s="1091">
        <v>821</v>
      </c>
      <c r="B189" s="1091" t="s">
        <v>445</v>
      </c>
      <c r="C189" s="1091">
        <v>134525</v>
      </c>
      <c r="D189" s="1091">
        <v>8211102</v>
      </c>
      <c r="E189" s="1091">
        <v>1102</v>
      </c>
      <c r="F189" s="1091" t="s">
        <v>446</v>
      </c>
      <c r="G189" s="1091">
        <v>12</v>
      </c>
      <c r="H189" s="1092">
        <v>3017789</v>
      </c>
      <c r="I189" s="1092">
        <v>102604.826</v>
      </c>
      <c r="J189" s="1091"/>
      <c r="K189" s="1091" t="s">
        <v>182</v>
      </c>
      <c r="L189" s="1092"/>
      <c r="M189" s="1093"/>
      <c r="S189" s="1091"/>
    </row>
    <row r="190" spans="1:19">
      <c r="A190" s="1091">
        <v>352</v>
      </c>
      <c r="B190" s="1091" t="s">
        <v>447</v>
      </c>
      <c r="C190" s="1091">
        <v>136743</v>
      </c>
      <c r="D190" s="1091">
        <v>3521105</v>
      </c>
      <c r="E190" s="1091">
        <v>1105</v>
      </c>
      <c r="F190" s="1091" t="s">
        <v>448</v>
      </c>
      <c r="G190" s="1091">
        <v>12</v>
      </c>
      <c r="H190" s="1092">
        <v>6959103</v>
      </c>
      <c r="I190" s="1092">
        <v>236609.50200000001</v>
      </c>
      <c r="J190" s="1091"/>
      <c r="K190" s="1091" t="s">
        <v>182</v>
      </c>
      <c r="L190" s="1092"/>
      <c r="M190" s="1093"/>
      <c r="S190" s="1091"/>
    </row>
    <row r="191" spans="1:19">
      <c r="A191" s="1091">
        <v>352</v>
      </c>
      <c r="B191" s="1091" t="s">
        <v>447</v>
      </c>
      <c r="C191" s="1091">
        <v>133945</v>
      </c>
      <c r="D191" s="1091">
        <v>3521102</v>
      </c>
      <c r="E191" s="1091">
        <v>1102</v>
      </c>
      <c r="F191" s="1091" t="s">
        <v>449</v>
      </c>
      <c r="G191" s="1091">
        <v>12</v>
      </c>
      <c r="H191" s="1092">
        <v>2449174</v>
      </c>
      <c r="I191" s="1092">
        <v>83271.916000000012</v>
      </c>
      <c r="J191" s="1091"/>
      <c r="K191" s="1091" t="s">
        <v>182</v>
      </c>
      <c r="L191" s="1092"/>
      <c r="M191" s="1093"/>
      <c r="S191" s="1091"/>
    </row>
    <row r="192" spans="1:19">
      <c r="A192" s="1091">
        <v>887</v>
      </c>
      <c r="B192" s="1091" t="s">
        <v>450</v>
      </c>
      <c r="C192" s="1091">
        <v>133767</v>
      </c>
      <c r="D192" s="1091">
        <v>8871108</v>
      </c>
      <c r="E192" s="1091">
        <v>1108</v>
      </c>
      <c r="F192" s="1091" t="s">
        <v>451</v>
      </c>
      <c r="G192" s="1091">
        <v>12</v>
      </c>
      <c r="H192" s="1092">
        <v>1135110</v>
      </c>
      <c r="I192" s="1092">
        <v>38593.740000000005</v>
      </c>
      <c r="J192" s="1091"/>
      <c r="K192" s="1091" t="s">
        <v>182</v>
      </c>
      <c r="L192" s="1092"/>
      <c r="M192" s="1093"/>
      <c r="S192" s="1091"/>
    </row>
    <row r="193" spans="1:19">
      <c r="A193" s="1091">
        <v>887</v>
      </c>
      <c r="B193" s="1091" t="s">
        <v>450</v>
      </c>
      <c r="C193" s="1091">
        <v>144134</v>
      </c>
      <c r="D193" s="1091">
        <v>8871107</v>
      </c>
      <c r="E193" s="1091">
        <v>1107</v>
      </c>
      <c r="F193" s="1091" t="s">
        <v>452</v>
      </c>
      <c r="G193" s="1091">
        <v>12</v>
      </c>
      <c r="H193" s="1092">
        <v>1748142.5</v>
      </c>
      <c r="I193" s="1092">
        <v>59436.845000000001</v>
      </c>
      <c r="J193" s="1091"/>
      <c r="K193" s="1091" t="s">
        <v>188</v>
      </c>
      <c r="L193" s="1092"/>
      <c r="M193" s="1093"/>
      <c r="S193" s="1091"/>
    </row>
    <row r="194" spans="1:19">
      <c r="A194" s="1091">
        <v>887</v>
      </c>
      <c r="B194" s="1091" t="s">
        <v>450</v>
      </c>
      <c r="C194" s="1091">
        <v>149009</v>
      </c>
      <c r="D194" s="1091">
        <v>8871108</v>
      </c>
      <c r="E194" s="1091">
        <v>1108</v>
      </c>
      <c r="F194" s="1091" t="s">
        <v>453</v>
      </c>
      <c r="G194" s="1091"/>
      <c r="H194" s="1092" t="s">
        <v>439</v>
      </c>
      <c r="J194" s="1091"/>
      <c r="K194" s="1091" t="s">
        <v>188</v>
      </c>
      <c r="L194" s="1092"/>
      <c r="M194" s="1093"/>
      <c r="S194" s="1091"/>
    </row>
    <row r="195" spans="1:19">
      <c r="A195" s="1091">
        <v>315</v>
      </c>
      <c r="B195" s="1091" t="s">
        <v>454</v>
      </c>
      <c r="C195" s="1091">
        <v>133754</v>
      </c>
      <c r="D195" s="1091">
        <v>3151100</v>
      </c>
      <c r="E195" s="1091">
        <v>1100</v>
      </c>
      <c r="F195" s="1091" t="s">
        <v>455</v>
      </c>
      <c r="G195" s="1091">
        <v>12</v>
      </c>
      <c r="H195" s="1092">
        <v>2081027</v>
      </c>
      <c r="I195" s="1092">
        <v>70754.918000000005</v>
      </c>
      <c r="J195" s="1091"/>
      <c r="K195" s="1091" t="s">
        <v>182</v>
      </c>
      <c r="L195" s="1092"/>
      <c r="M195" s="1093"/>
      <c r="S195" s="1091"/>
    </row>
    <row r="196" spans="1:19">
      <c r="A196" s="1091">
        <v>806</v>
      </c>
      <c r="B196" s="1091" t="s">
        <v>456</v>
      </c>
      <c r="C196" s="1091">
        <v>142487</v>
      </c>
      <c r="D196" s="1091">
        <v>8061102</v>
      </c>
      <c r="E196" s="1091">
        <v>1102</v>
      </c>
      <c r="F196" s="1091" t="s">
        <v>457</v>
      </c>
      <c r="G196" s="1091">
        <v>12</v>
      </c>
      <c r="H196" s="1092">
        <v>996602.5</v>
      </c>
      <c r="I196" s="1092">
        <v>33884.485000000001</v>
      </c>
      <c r="J196" s="1091"/>
      <c r="K196" s="1091" t="s">
        <v>188</v>
      </c>
      <c r="L196" s="1092"/>
      <c r="M196" s="1093"/>
      <c r="S196" s="1091"/>
    </row>
    <row r="197" spans="1:19">
      <c r="A197" s="1091">
        <v>806</v>
      </c>
      <c r="B197" s="1091" t="s">
        <v>456</v>
      </c>
      <c r="C197" s="1091">
        <v>142502</v>
      </c>
      <c r="D197" s="1091">
        <v>8061100</v>
      </c>
      <c r="E197" s="1091">
        <v>1100</v>
      </c>
      <c r="F197" s="1091" t="s">
        <v>458</v>
      </c>
      <c r="G197" s="1091">
        <v>12</v>
      </c>
      <c r="H197" s="1092">
        <v>874450</v>
      </c>
      <c r="I197" s="1092">
        <v>29731.300000000003</v>
      </c>
      <c r="J197" s="1091"/>
      <c r="K197" s="1091" t="s">
        <v>188</v>
      </c>
      <c r="L197" s="1092"/>
      <c r="M197" s="1093"/>
      <c r="S197" s="1091"/>
    </row>
    <row r="198" spans="1:19">
      <c r="A198" s="1091">
        <v>806</v>
      </c>
      <c r="B198" s="1091" t="s">
        <v>456</v>
      </c>
      <c r="C198" s="1091">
        <v>142511</v>
      </c>
      <c r="D198" s="1091">
        <v>8061101</v>
      </c>
      <c r="E198" s="1091">
        <v>1101</v>
      </c>
      <c r="F198" s="1091" t="s">
        <v>459</v>
      </c>
      <c r="G198" s="1091">
        <v>12</v>
      </c>
      <c r="H198" s="1092">
        <v>259655</v>
      </c>
      <c r="I198" s="1092">
        <v>8828.27</v>
      </c>
      <c r="J198" s="1091"/>
      <c r="K198" s="1091" t="s">
        <v>188</v>
      </c>
      <c r="L198" s="1092"/>
      <c r="M198" s="1093"/>
      <c r="S198" s="1091"/>
    </row>
    <row r="199" spans="1:19">
      <c r="A199" s="1091">
        <v>826</v>
      </c>
      <c r="B199" s="1091" t="s">
        <v>460</v>
      </c>
      <c r="C199" s="1091">
        <v>140252</v>
      </c>
      <c r="D199" s="1091">
        <v>8261109</v>
      </c>
      <c r="E199" s="1091">
        <v>1109</v>
      </c>
      <c r="F199" s="1091" t="s">
        <v>461</v>
      </c>
      <c r="G199" s="1091">
        <v>12</v>
      </c>
      <c r="H199" s="1092">
        <v>2419967.5</v>
      </c>
      <c r="I199" s="1092">
        <v>82278.895000000004</v>
      </c>
      <c r="J199" s="1091"/>
      <c r="K199" s="1091" t="s">
        <v>188</v>
      </c>
      <c r="L199" s="1092"/>
      <c r="M199" s="1093"/>
      <c r="S199" s="1091"/>
    </row>
    <row r="200" spans="1:19">
      <c r="A200" s="1091">
        <v>826</v>
      </c>
      <c r="B200" s="1091" t="s">
        <v>460</v>
      </c>
      <c r="C200" s="1091">
        <v>134310</v>
      </c>
      <c r="D200" s="1091">
        <v>8261107</v>
      </c>
      <c r="E200" s="1091">
        <v>1107</v>
      </c>
      <c r="F200" s="1091" t="s">
        <v>462</v>
      </c>
      <c r="G200" s="1091">
        <v>12</v>
      </c>
      <c r="H200" s="1092">
        <v>390640</v>
      </c>
      <c r="I200" s="1092">
        <v>13281.76</v>
      </c>
      <c r="J200" s="1091"/>
      <c r="K200" s="1091" t="s">
        <v>182</v>
      </c>
      <c r="L200" s="1092"/>
      <c r="M200" s="1093"/>
      <c r="S200" s="1091"/>
    </row>
    <row r="201" spans="1:19">
      <c r="A201" s="1091">
        <v>391</v>
      </c>
      <c r="B201" s="1091" t="s">
        <v>463</v>
      </c>
      <c r="C201" s="1091">
        <v>144358</v>
      </c>
      <c r="D201" s="1091">
        <v>3911106</v>
      </c>
      <c r="E201" s="1091">
        <v>1106</v>
      </c>
      <c r="F201" s="1091" t="s">
        <v>464</v>
      </c>
      <c r="G201" s="1091">
        <v>12</v>
      </c>
      <c r="H201" s="1092">
        <v>1461007.5</v>
      </c>
      <c r="I201" s="1092">
        <v>49674.255000000005</v>
      </c>
      <c r="J201" s="1091"/>
      <c r="K201" s="1091" t="s">
        <v>188</v>
      </c>
      <c r="L201" s="1092"/>
      <c r="M201" s="1093"/>
      <c r="S201" s="1091"/>
    </row>
    <row r="202" spans="1:19">
      <c r="A202" s="1091">
        <v>391</v>
      </c>
      <c r="B202" s="1091" t="s">
        <v>463</v>
      </c>
      <c r="C202" s="1091">
        <v>145361</v>
      </c>
      <c r="D202" s="1091">
        <v>3917037</v>
      </c>
      <c r="E202" s="1091">
        <v>7037</v>
      </c>
      <c r="F202" s="1091" t="s">
        <v>465</v>
      </c>
      <c r="G202" s="1091">
        <v>12</v>
      </c>
      <c r="H202" s="1092">
        <v>3190540</v>
      </c>
      <c r="I202" s="1092">
        <v>108478.36</v>
      </c>
      <c r="J202" s="1091"/>
      <c r="K202" s="1091" t="s">
        <v>188</v>
      </c>
      <c r="L202" s="1092"/>
      <c r="M202" s="1093"/>
      <c r="S202" s="1091"/>
    </row>
    <row r="203" spans="1:19">
      <c r="A203" s="1091">
        <v>316</v>
      </c>
      <c r="B203" s="1091" t="s">
        <v>466</v>
      </c>
      <c r="C203" s="1091">
        <v>141139</v>
      </c>
      <c r="D203" s="1091">
        <v>3166071</v>
      </c>
      <c r="E203" s="1091">
        <v>6071</v>
      </c>
      <c r="F203" s="1091" t="s">
        <v>467</v>
      </c>
      <c r="G203" s="1091">
        <v>12</v>
      </c>
      <c r="H203" s="1092">
        <v>2225215</v>
      </c>
      <c r="I203" s="1092">
        <v>75657.310000000012</v>
      </c>
      <c r="J203" s="1091"/>
      <c r="K203" s="1091" t="s">
        <v>188</v>
      </c>
      <c r="L203" s="1092"/>
      <c r="M203" s="1093"/>
      <c r="S203" s="1091"/>
    </row>
    <row r="204" spans="1:19">
      <c r="A204" s="1091">
        <v>316</v>
      </c>
      <c r="B204" s="1091" t="s">
        <v>466</v>
      </c>
      <c r="C204" s="1091">
        <v>102708</v>
      </c>
      <c r="D204" s="1091">
        <v>3161100</v>
      </c>
      <c r="E204" s="1091">
        <v>1100</v>
      </c>
      <c r="F204" s="1091" t="s">
        <v>468</v>
      </c>
      <c r="G204" s="1091">
        <v>12</v>
      </c>
      <c r="H204" s="1092">
        <v>3690493</v>
      </c>
      <c r="I204" s="1092">
        <v>125476.762</v>
      </c>
      <c r="J204" s="1091"/>
      <c r="K204" s="1091" t="s">
        <v>182</v>
      </c>
      <c r="L204" s="1092"/>
      <c r="M204" s="1093"/>
      <c r="S204" s="1091"/>
    </row>
    <row r="205" spans="1:19">
      <c r="A205" s="1091">
        <v>316</v>
      </c>
      <c r="B205" s="1091" t="s">
        <v>466</v>
      </c>
      <c r="C205" s="1091">
        <v>134919</v>
      </c>
      <c r="D205" s="1091">
        <v>3161101</v>
      </c>
      <c r="E205" s="1091">
        <v>1101</v>
      </c>
      <c r="F205" s="1091" t="s">
        <v>469</v>
      </c>
      <c r="G205" s="1091">
        <v>12</v>
      </c>
      <c r="H205" s="1092">
        <v>1645880</v>
      </c>
      <c r="I205" s="1092">
        <v>55959.920000000006</v>
      </c>
      <c r="J205" s="1091"/>
      <c r="K205" s="1091" t="s">
        <v>182</v>
      </c>
      <c r="L205" s="1092"/>
      <c r="M205" s="1093"/>
      <c r="S205" s="1091"/>
    </row>
    <row r="206" spans="1:19">
      <c r="A206" s="1091">
        <v>926</v>
      </c>
      <c r="B206" s="1091" t="s">
        <v>470</v>
      </c>
      <c r="C206" s="1091">
        <v>140753</v>
      </c>
      <c r="D206" s="1091">
        <v>9261111</v>
      </c>
      <c r="E206" s="1091">
        <v>1111</v>
      </c>
      <c r="F206" s="1091" t="s">
        <v>471</v>
      </c>
      <c r="G206" s="1091">
        <v>12</v>
      </c>
      <c r="H206" s="1092">
        <v>3878787.5</v>
      </c>
      <c r="I206" s="1092">
        <v>131878.77500000002</v>
      </c>
      <c r="J206" s="1091"/>
      <c r="K206" s="1091" t="s">
        <v>188</v>
      </c>
      <c r="L206" s="1092"/>
      <c r="M206" s="1093"/>
      <c r="S206" s="1091"/>
    </row>
    <row r="207" spans="1:19">
      <c r="A207" s="1091">
        <v>926</v>
      </c>
      <c r="B207" s="1091" t="s">
        <v>470</v>
      </c>
      <c r="C207" s="1091">
        <v>139665</v>
      </c>
      <c r="D207" s="1091">
        <v>9261112</v>
      </c>
      <c r="E207" s="1091">
        <v>1112</v>
      </c>
      <c r="F207" s="1091" t="s">
        <v>472</v>
      </c>
      <c r="G207" s="1091">
        <v>12</v>
      </c>
      <c r="H207" s="1092">
        <v>439125</v>
      </c>
      <c r="I207" s="1092">
        <v>14930.250000000002</v>
      </c>
      <c r="J207" s="1091"/>
      <c r="K207" s="1091" t="s">
        <v>188</v>
      </c>
      <c r="L207" s="1092"/>
      <c r="M207" s="1093"/>
      <c r="S207" s="1091"/>
    </row>
    <row r="208" spans="1:19">
      <c r="A208" s="1091">
        <v>812</v>
      </c>
      <c r="B208" s="1091" t="s">
        <v>473</v>
      </c>
      <c r="C208" s="1091">
        <v>141101</v>
      </c>
      <c r="D208" s="1091">
        <v>8127000</v>
      </c>
      <c r="E208" s="1091">
        <v>7000</v>
      </c>
      <c r="F208" s="1091" t="s">
        <v>474</v>
      </c>
      <c r="G208" s="1091">
        <v>12</v>
      </c>
      <c r="H208" s="1092">
        <v>1983375</v>
      </c>
      <c r="I208" s="1092">
        <v>67434.75</v>
      </c>
      <c r="J208" s="1091"/>
      <c r="K208" s="1091" t="s">
        <v>188</v>
      </c>
      <c r="L208" s="1092"/>
      <c r="M208" s="1093"/>
      <c r="S208" s="1091"/>
    </row>
    <row r="209" spans="1:19">
      <c r="A209" s="1091">
        <v>812</v>
      </c>
      <c r="B209" s="1091" t="s">
        <v>473</v>
      </c>
      <c r="C209" s="1091">
        <v>141585</v>
      </c>
      <c r="D209" s="1091">
        <v>8121105</v>
      </c>
      <c r="E209" s="1091">
        <v>1105</v>
      </c>
      <c r="F209" s="1091" t="s">
        <v>475</v>
      </c>
      <c r="G209" s="1091">
        <v>12</v>
      </c>
      <c r="H209" s="1092">
        <v>1690170</v>
      </c>
      <c r="I209" s="1092">
        <v>57465.780000000006</v>
      </c>
      <c r="J209" s="1091"/>
      <c r="K209" s="1091" t="s">
        <v>188</v>
      </c>
      <c r="L209" s="1092"/>
      <c r="M209" s="1093"/>
      <c r="S209" s="1091"/>
    </row>
    <row r="210" spans="1:19">
      <c r="A210" s="1091">
        <v>813</v>
      </c>
      <c r="B210" s="1091" t="s">
        <v>476</v>
      </c>
      <c r="C210" s="1091">
        <v>141485</v>
      </c>
      <c r="D210" s="1091">
        <v>8131105</v>
      </c>
      <c r="E210" s="1091">
        <v>1105</v>
      </c>
      <c r="F210" s="1091" t="s">
        <v>477</v>
      </c>
      <c r="G210" s="1091">
        <v>12</v>
      </c>
      <c r="H210" s="1092">
        <v>799000</v>
      </c>
      <c r="I210" s="1092">
        <v>27166.000000000004</v>
      </c>
      <c r="J210" s="1091"/>
      <c r="K210" s="1091" t="s">
        <v>188</v>
      </c>
      <c r="L210" s="1092"/>
      <c r="M210" s="1093"/>
      <c r="S210" s="1091"/>
    </row>
    <row r="211" spans="1:19">
      <c r="A211" s="1091">
        <v>813</v>
      </c>
      <c r="B211" s="1091" t="s">
        <v>476</v>
      </c>
      <c r="C211" s="1091">
        <v>117704</v>
      </c>
      <c r="D211" s="1091">
        <v>8131103</v>
      </c>
      <c r="E211" s="1091">
        <v>1103</v>
      </c>
      <c r="F211" s="1091" t="s">
        <v>478</v>
      </c>
      <c r="G211" s="1091">
        <v>5</v>
      </c>
      <c r="H211" s="1092" t="s">
        <v>245</v>
      </c>
      <c r="J211" s="1091"/>
      <c r="K211" s="1091" t="s">
        <v>182</v>
      </c>
      <c r="L211" s="1092"/>
      <c r="M211" s="1093"/>
      <c r="S211" s="1091"/>
    </row>
    <row r="212" spans="1:19">
      <c r="A212" s="1091">
        <v>802</v>
      </c>
      <c r="B212" s="1091" t="s">
        <v>479</v>
      </c>
      <c r="C212" s="1091">
        <v>138455</v>
      </c>
      <c r="D212" s="1091">
        <v>8021102</v>
      </c>
      <c r="E212" s="1091">
        <v>1102</v>
      </c>
      <c r="F212" s="1091" t="s">
        <v>480</v>
      </c>
      <c r="G212" s="1091">
        <v>12</v>
      </c>
      <c r="H212" s="1092">
        <v>2120560</v>
      </c>
      <c r="I212" s="1092">
        <v>72099.040000000008</v>
      </c>
      <c r="J212" s="1091"/>
      <c r="K212" s="1091" t="s">
        <v>182</v>
      </c>
      <c r="L212" s="1092"/>
      <c r="M212" s="1093"/>
      <c r="S212" s="1091"/>
    </row>
    <row r="213" spans="1:19">
      <c r="A213" s="1091">
        <v>392</v>
      </c>
      <c r="B213" s="1091" t="s">
        <v>481</v>
      </c>
      <c r="C213" s="1091">
        <v>108565</v>
      </c>
      <c r="D213" s="1091">
        <v>3921100</v>
      </c>
      <c r="E213" s="1091">
        <v>1100</v>
      </c>
      <c r="F213" s="1091" t="s">
        <v>482</v>
      </c>
      <c r="G213" s="1091">
        <v>12</v>
      </c>
      <c r="H213" s="1092">
        <v>4100464</v>
      </c>
      <c r="I213" s="1092">
        <v>139415.77600000001</v>
      </c>
      <c r="J213" s="1091"/>
      <c r="K213" s="1091" t="s">
        <v>182</v>
      </c>
      <c r="L213" s="1092"/>
      <c r="M213" s="1093"/>
      <c r="S213" s="1091"/>
    </row>
    <row r="214" spans="1:19">
      <c r="A214" s="1091">
        <v>815</v>
      </c>
      <c r="B214" s="1091" t="s">
        <v>483</v>
      </c>
      <c r="C214" s="1091">
        <v>137751</v>
      </c>
      <c r="D214" s="1091">
        <v>8151104</v>
      </c>
      <c r="E214" s="1091">
        <v>1104</v>
      </c>
      <c r="F214" s="1091" t="s">
        <v>484</v>
      </c>
      <c r="G214" s="1091">
        <v>12</v>
      </c>
      <c r="H214" s="1092">
        <v>654836</v>
      </c>
      <c r="I214" s="1092">
        <v>22264.424000000003</v>
      </c>
      <c r="J214" s="1091"/>
      <c r="K214" s="1091" t="s">
        <v>182</v>
      </c>
      <c r="L214" s="1092"/>
      <c r="M214" s="1093"/>
      <c r="S214" s="1091"/>
    </row>
    <row r="215" spans="1:19">
      <c r="A215" s="1091">
        <v>815</v>
      </c>
      <c r="B215" s="1091" t="s">
        <v>483</v>
      </c>
      <c r="C215" s="1091">
        <v>135850</v>
      </c>
      <c r="D215" s="1091">
        <v>8151102</v>
      </c>
      <c r="E215" s="1091">
        <v>1102</v>
      </c>
      <c r="F215" s="1091" t="s">
        <v>485</v>
      </c>
      <c r="G215" s="1091">
        <v>12</v>
      </c>
      <c r="H215" s="1092">
        <v>659047</v>
      </c>
      <c r="I215" s="1092">
        <v>22407.598000000002</v>
      </c>
      <c r="J215" s="1091"/>
      <c r="K215" s="1091" t="s">
        <v>182</v>
      </c>
      <c r="L215" s="1092"/>
      <c r="M215" s="1093"/>
      <c r="S215" s="1091"/>
    </row>
    <row r="216" spans="1:19">
      <c r="A216" s="1091">
        <v>815</v>
      </c>
      <c r="B216" s="1091" t="s">
        <v>483</v>
      </c>
      <c r="C216" s="1091">
        <v>132027</v>
      </c>
      <c r="D216" s="1091">
        <v>8151100</v>
      </c>
      <c r="E216" s="1091">
        <v>1100</v>
      </c>
      <c r="F216" s="1091" t="s">
        <v>486</v>
      </c>
      <c r="G216" s="1091">
        <v>12</v>
      </c>
      <c r="H216" s="1092">
        <v>927382</v>
      </c>
      <c r="I216" s="1092">
        <v>31530.988000000001</v>
      </c>
      <c r="J216" s="1091"/>
      <c r="K216" s="1091" t="s">
        <v>182</v>
      </c>
      <c r="L216" s="1092"/>
      <c r="M216" s="1093"/>
      <c r="S216" s="1091"/>
    </row>
    <row r="217" spans="1:19">
      <c r="A217" s="1091">
        <v>815</v>
      </c>
      <c r="B217" s="1091" t="s">
        <v>483</v>
      </c>
      <c r="C217" s="1091">
        <v>135851</v>
      </c>
      <c r="D217" s="1091">
        <v>8151103</v>
      </c>
      <c r="E217" s="1091">
        <v>1103</v>
      </c>
      <c r="F217" s="1091" t="s">
        <v>487</v>
      </c>
      <c r="G217" s="1091">
        <v>12</v>
      </c>
      <c r="H217" s="1092">
        <v>376705</v>
      </c>
      <c r="I217" s="1092">
        <v>12807.970000000001</v>
      </c>
      <c r="J217" s="1091"/>
      <c r="K217" s="1091" t="s">
        <v>182</v>
      </c>
      <c r="L217" s="1092"/>
      <c r="M217" s="1093"/>
      <c r="S217" s="1091"/>
    </row>
    <row r="218" spans="1:19">
      <c r="A218" s="1091">
        <v>815</v>
      </c>
      <c r="B218" s="1091" t="s">
        <v>483</v>
      </c>
      <c r="C218" s="1091">
        <v>140077</v>
      </c>
      <c r="D218" s="1091">
        <v>8151101</v>
      </c>
      <c r="E218" s="1091">
        <v>1101</v>
      </c>
      <c r="F218" s="1091" t="s">
        <v>488</v>
      </c>
      <c r="G218" s="1091">
        <v>12</v>
      </c>
      <c r="H218" s="1092">
        <v>609180</v>
      </c>
      <c r="I218" s="1092">
        <v>20712.120000000003</v>
      </c>
      <c r="J218" s="1091"/>
      <c r="K218" s="1091" t="s">
        <v>188</v>
      </c>
      <c r="L218" s="1092"/>
      <c r="M218" s="1093"/>
      <c r="S218" s="1091"/>
    </row>
    <row r="219" spans="1:19">
      <c r="A219" s="1091">
        <v>929</v>
      </c>
      <c r="B219" s="1091" t="s">
        <v>489</v>
      </c>
      <c r="C219" s="1091">
        <v>132130</v>
      </c>
      <c r="D219" s="1091">
        <v>9291100</v>
      </c>
      <c r="E219" s="1091">
        <v>1100</v>
      </c>
      <c r="F219" s="1091" t="s">
        <v>490</v>
      </c>
      <c r="G219" s="1091">
        <v>12</v>
      </c>
      <c r="H219" s="1092">
        <v>426400</v>
      </c>
      <c r="I219" s="1092">
        <v>14497.6</v>
      </c>
      <c r="J219" s="1091"/>
      <c r="K219" s="1091" t="s">
        <v>182</v>
      </c>
      <c r="L219" s="1092"/>
      <c r="M219" s="1093"/>
      <c r="S219" s="1091"/>
    </row>
    <row r="220" spans="1:19">
      <c r="A220" s="1091">
        <v>892</v>
      </c>
      <c r="B220" s="1091" t="s">
        <v>491</v>
      </c>
      <c r="C220" s="1091">
        <v>145581</v>
      </c>
      <c r="D220" s="1091">
        <v>8921113</v>
      </c>
      <c r="E220" s="1091">
        <v>1113</v>
      </c>
      <c r="F220" s="1091" t="s">
        <v>492</v>
      </c>
      <c r="G220" s="1091">
        <v>12</v>
      </c>
      <c r="H220" s="1092">
        <v>1225225</v>
      </c>
      <c r="I220" s="1092">
        <v>41657.65</v>
      </c>
      <c r="J220" s="1091"/>
      <c r="K220" s="1091" t="s">
        <v>188</v>
      </c>
      <c r="L220" s="1092"/>
      <c r="M220" s="1093"/>
      <c r="S220" s="1091"/>
    </row>
    <row r="221" spans="1:19">
      <c r="A221" s="1091">
        <v>892</v>
      </c>
      <c r="B221" s="1091" t="s">
        <v>491</v>
      </c>
      <c r="C221" s="1091">
        <v>144022</v>
      </c>
      <c r="D221" s="1091">
        <v>8921111</v>
      </c>
      <c r="E221" s="1091">
        <v>1111</v>
      </c>
      <c r="F221" s="1091" t="s">
        <v>493</v>
      </c>
      <c r="G221" s="1091">
        <v>12</v>
      </c>
      <c r="H221" s="1092">
        <v>1448360</v>
      </c>
      <c r="I221" s="1092">
        <v>49244.240000000005</v>
      </c>
      <c r="J221" s="1091"/>
      <c r="K221" s="1091" t="s">
        <v>188</v>
      </c>
      <c r="L221" s="1092"/>
      <c r="M221" s="1093"/>
      <c r="S221" s="1091"/>
    </row>
    <row r="222" spans="1:19">
      <c r="A222" s="1091">
        <v>892</v>
      </c>
      <c r="B222" s="1091" t="s">
        <v>491</v>
      </c>
      <c r="C222" s="1091">
        <v>133164</v>
      </c>
      <c r="D222" s="1091">
        <v>8921109</v>
      </c>
      <c r="E222" s="1091">
        <v>1109</v>
      </c>
      <c r="F222" s="1091" t="s">
        <v>494</v>
      </c>
      <c r="G222" s="1091">
        <v>12</v>
      </c>
      <c r="H222" s="1092">
        <v>2323092</v>
      </c>
      <c r="I222" s="1092">
        <v>78985.128000000012</v>
      </c>
      <c r="J222" s="1091"/>
      <c r="K222" s="1091" t="s">
        <v>182</v>
      </c>
      <c r="L222" s="1092"/>
      <c r="M222" s="1093"/>
      <c r="S222" s="1091"/>
    </row>
    <row r="223" spans="1:19">
      <c r="A223" s="1091">
        <v>892</v>
      </c>
      <c r="B223" s="1091" t="s">
        <v>491</v>
      </c>
      <c r="C223" s="1091">
        <v>138264</v>
      </c>
      <c r="D223" s="1091">
        <v>8921100</v>
      </c>
      <c r="E223" s="1091">
        <v>1100</v>
      </c>
      <c r="F223" s="1091" t="s">
        <v>495</v>
      </c>
      <c r="G223" s="1091">
        <v>12</v>
      </c>
      <c r="H223" s="1092">
        <v>2258000</v>
      </c>
      <c r="I223" s="1092">
        <v>76772</v>
      </c>
      <c r="J223" s="1091"/>
      <c r="K223" s="1091" t="s">
        <v>188</v>
      </c>
      <c r="L223" s="1092"/>
      <c r="M223" s="1093"/>
      <c r="S223" s="1091"/>
    </row>
    <row r="224" spans="1:19">
      <c r="A224" s="1091">
        <v>892</v>
      </c>
      <c r="B224" s="1091" t="s">
        <v>491</v>
      </c>
      <c r="C224" s="1091">
        <v>144023</v>
      </c>
      <c r="D224" s="1091">
        <v>8921112</v>
      </c>
      <c r="E224" s="1091">
        <v>1112</v>
      </c>
      <c r="F224" s="1091" t="s">
        <v>496</v>
      </c>
      <c r="G224" s="1091">
        <v>12</v>
      </c>
      <c r="H224" s="1092">
        <v>1229915</v>
      </c>
      <c r="I224" s="1092">
        <v>41817.11</v>
      </c>
      <c r="J224" s="1091"/>
      <c r="K224" s="1091" t="s">
        <v>188</v>
      </c>
      <c r="L224" s="1092"/>
      <c r="M224" s="1093"/>
      <c r="S224" s="1091"/>
    </row>
    <row r="225" spans="1:19">
      <c r="A225" s="1091">
        <v>353</v>
      </c>
      <c r="B225" s="1091" t="s">
        <v>497</v>
      </c>
      <c r="C225" s="1091">
        <v>134759</v>
      </c>
      <c r="D225" s="1091">
        <v>3531100</v>
      </c>
      <c r="E225" s="1091">
        <v>1100</v>
      </c>
      <c r="F225" s="1091" t="s">
        <v>498</v>
      </c>
      <c r="G225" s="1091">
        <v>12</v>
      </c>
      <c r="H225" s="1092">
        <v>2178447</v>
      </c>
      <c r="I225" s="1092">
        <v>74067.198000000004</v>
      </c>
      <c r="J225" s="1091"/>
      <c r="K225" s="1091" t="s">
        <v>182</v>
      </c>
      <c r="L225" s="1092"/>
      <c r="M225" s="1093"/>
      <c r="S225" s="1091"/>
    </row>
    <row r="226" spans="1:19">
      <c r="A226" s="1091">
        <v>931</v>
      </c>
      <c r="B226" s="1091" t="s">
        <v>499</v>
      </c>
      <c r="C226" s="1091">
        <v>141727</v>
      </c>
      <c r="D226" s="1091">
        <v>9311106</v>
      </c>
      <c r="E226" s="1091">
        <v>1106</v>
      </c>
      <c r="F226" s="1091" t="s">
        <v>500</v>
      </c>
      <c r="G226" s="1091">
        <v>12</v>
      </c>
      <c r="H226" s="1092">
        <v>3083792.5</v>
      </c>
      <c r="I226" s="1092">
        <v>104848.94500000001</v>
      </c>
      <c r="J226" s="1091"/>
      <c r="K226" s="1091" t="s">
        <v>188</v>
      </c>
      <c r="L226" s="1092"/>
      <c r="M226" s="1093"/>
      <c r="S226" s="1091"/>
    </row>
    <row r="227" spans="1:19">
      <c r="A227" s="1091">
        <v>874</v>
      </c>
      <c r="B227" s="1091" t="s">
        <v>501</v>
      </c>
      <c r="C227" s="1091">
        <v>147892</v>
      </c>
      <c r="D227" s="1091">
        <v>8741100</v>
      </c>
      <c r="E227" s="1091">
        <v>1100</v>
      </c>
      <c r="F227" s="1091" t="s">
        <v>502</v>
      </c>
      <c r="G227" s="1091">
        <v>12</v>
      </c>
      <c r="H227" s="1092">
        <v>3454477.5</v>
      </c>
      <c r="I227" s="1092">
        <v>117452.23500000002</v>
      </c>
      <c r="J227" s="1091"/>
      <c r="K227" s="1091" t="s">
        <v>188</v>
      </c>
      <c r="L227" s="1092"/>
      <c r="M227" s="1093"/>
      <c r="S227" s="1091"/>
    </row>
    <row r="228" spans="1:19">
      <c r="A228" s="1091">
        <v>879</v>
      </c>
      <c r="B228" s="1091" t="s">
        <v>503</v>
      </c>
      <c r="C228" s="1091">
        <v>142835</v>
      </c>
      <c r="D228" s="1091">
        <v>8791106</v>
      </c>
      <c r="E228" s="1091">
        <v>1106</v>
      </c>
      <c r="F228" s="1091" t="s">
        <v>504</v>
      </c>
      <c r="G228" s="1091">
        <v>12</v>
      </c>
      <c r="H228" s="1092">
        <v>8656615</v>
      </c>
      <c r="I228" s="1092">
        <v>294324.90999999997</v>
      </c>
      <c r="J228" s="1091"/>
      <c r="K228" s="1091" t="s">
        <v>188</v>
      </c>
      <c r="L228" s="1092"/>
      <c r="M228" s="1093"/>
      <c r="S228" s="1091"/>
    </row>
    <row r="229" spans="1:19">
      <c r="A229" s="1091">
        <v>870</v>
      </c>
      <c r="B229" s="1091" t="s">
        <v>505</v>
      </c>
      <c r="C229" s="1091">
        <v>147719</v>
      </c>
      <c r="D229" s="1091">
        <v>8701112</v>
      </c>
      <c r="E229" s="1091">
        <v>1112</v>
      </c>
      <c r="F229" s="1091" t="s">
        <v>506</v>
      </c>
      <c r="G229" s="1091">
        <v>12</v>
      </c>
      <c r="H229" s="1092">
        <v>2790232.5</v>
      </c>
      <c r="I229" s="1092">
        <v>94867.905000000013</v>
      </c>
      <c r="J229" s="1091"/>
      <c r="K229" s="1091" t="s">
        <v>188</v>
      </c>
      <c r="L229" s="1092"/>
      <c r="M229" s="1093"/>
      <c r="S229" s="1091"/>
    </row>
    <row r="230" spans="1:19">
      <c r="A230" s="1091">
        <v>317</v>
      </c>
      <c r="B230" s="1091" t="s">
        <v>507</v>
      </c>
      <c r="C230" s="1091">
        <v>141006</v>
      </c>
      <c r="D230" s="1091">
        <v>3171102</v>
      </c>
      <c r="E230" s="1091">
        <v>1102</v>
      </c>
      <c r="F230" s="1091" t="s">
        <v>508</v>
      </c>
      <c r="G230" s="1091">
        <v>12</v>
      </c>
      <c r="H230" s="1092">
        <v>1281495</v>
      </c>
      <c r="I230" s="1092">
        <v>43570.83</v>
      </c>
      <c r="J230" s="1091"/>
      <c r="K230" s="1091" t="s">
        <v>188</v>
      </c>
      <c r="L230" s="1092"/>
      <c r="M230" s="1093"/>
      <c r="S230" s="1091"/>
    </row>
    <row r="231" spans="1:19">
      <c r="A231" s="1091">
        <v>317</v>
      </c>
      <c r="B231" s="1091" t="s">
        <v>507</v>
      </c>
      <c r="C231" s="1091">
        <v>102794</v>
      </c>
      <c r="D231" s="1091">
        <v>3171100</v>
      </c>
      <c r="E231" s="1091">
        <v>1100</v>
      </c>
      <c r="F231" s="1091" t="s">
        <v>509</v>
      </c>
      <c r="G231" s="1091">
        <v>12</v>
      </c>
      <c r="H231" s="1092">
        <v>684059</v>
      </c>
      <c r="I231" s="1092">
        <v>23258.006000000001</v>
      </c>
      <c r="J231" s="1091"/>
      <c r="K231" s="1091" t="s">
        <v>182</v>
      </c>
      <c r="L231" s="1092"/>
      <c r="M231" s="1093"/>
      <c r="S231" s="1091"/>
    </row>
    <row r="232" spans="1:19">
      <c r="A232" s="1091">
        <v>317</v>
      </c>
      <c r="B232" s="1091" t="s">
        <v>507</v>
      </c>
      <c r="C232" s="1091">
        <v>134366</v>
      </c>
      <c r="D232" s="1091">
        <v>3171101</v>
      </c>
      <c r="E232" s="1091">
        <v>1101</v>
      </c>
      <c r="F232" s="1091" t="s">
        <v>510</v>
      </c>
      <c r="G232" s="1091">
        <v>12</v>
      </c>
      <c r="H232" s="1092">
        <v>942984</v>
      </c>
      <c r="I232" s="1092">
        <v>32061.456000000002</v>
      </c>
      <c r="J232" s="1091"/>
      <c r="K232" s="1091" t="s">
        <v>182</v>
      </c>
      <c r="L232" s="1092"/>
      <c r="M232" s="1093"/>
      <c r="S232" s="1091"/>
    </row>
    <row r="233" spans="1:19">
      <c r="A233" s="1091">
        <v>807</v>
      </c>
      <c r="B233" s="1091" t="s">
        <v>511</v>
      </c>
      <c r="C233" s="1091">
        <v>148694</v>
      </c>
      <c r="D233" s="1091">
        <v>8071100</v>
      </c>
      <c r="E233" s="1091">
        <v>1100</v>
      </c>
      <c r="F233" s="1091" t="s">
        <v>512</v>
      </c>
      <c r="G233" s="1091">
        <v>12</v>
      </c>
      <c r="H233" s="1092">
        <v>1545997.5</v>
      </c>
      <c r="I233" s="1092">
        <v>52563.915000000001</v>
      </c>
      <c r="J233" s="1091"/>
      <c r="K233" s="1091" t="s">
        <v>188</v>
      </c>
      <c r="L233" s="1092"/>
      <c r="M233" s="1093"/>
      <c r="S233" s="1091"/>
    </row>
    <row r="234" spans="1:19">
      <c r="A234" s="1091">
        <v>807</v>
      </c>
      <c r="B234" s="1091" t="s">
        <v>511</v>
      </c>
      <c r="C234" s="1091">
        <v>111520</v>
      </c>
      <c r="D234" s="1091">
        <v>8071100</v>
      </c>
      <c r="E234" s="1091">
        <v>1100</v>
      </c>
      <c r="F234" s="1091" t="s">
        <v>513</v>
      </c>
      <c r="G234" s="1091">
        <v>5</v>
      </c>
      <c r="H234" s="1092" t="s">
        <v>245</v>
      </c>
      <c r="J234" s="1091"/>
      <c r="K234" s="1091" t="s">
        <v>182</v>
      </c>
      <c r="L234" s="1092"/>
      <c r="M234" s="1093"/>
      <c r="S234" s="1091"/>
    </row>
    <row r="235" spans="1:19">
      <c r="A235" s="1091">
        <v>354</v>
      </c>
      <c r="B235" s="1091" t="s">
        <v>514</v>
      </c>
      <c r="C235" s="1091">
        <v>133409</v>
      </c>
      <c r="D235" s="1091">
        <v>3541100</v>
      </c>
      <c r="E235" s="1091">
        <v>1100</v>
      </c>
      <c r="F235" s="1091" t="s">
        <v>515</v>
      </c>
      <c r="G235" s="1091">
        <v>12</v>
      </c>
      <c r="H235" s="1092" t="s">
        <v>516</v>
      </c>
      <c r="J235" s="1091"/>
      <c r="K235" s="1091" t="s">
        <v>182</v>
      </c>
      <c r="L235" s="1092"/>
      <c r="M235" s="1093"/>
      <c r="S235" s="1091"/>
    </row>
    <row r="236" spans="1:19">
      <c r="A236" s="1091">
        <v>372</v>
      </c>
      <c r="B236" s="1091" t="s">
        <v>517</v>
      </c>
      <c r="C236" s="1091">
        <v>137823</v>
      </c>
      <c r="D236" s="1091">
        <v>3721112</v>
      </c>
      <c r="E236" s="1091">
        <v>1112</v>
      </c>
      <c r="F236" s="1091" t="s">
        <v>518</v>
      </c>
      <c r="G236" s="1091">
        <v>12</v>
      </c>
      <c r="H236" s="1092">
        <v>2900026</v>
      </c>
      <c r="I236" s="1092">
        <v>98600.884000000005</v>
      </c>
      <c r="J236" s="1091"/>
      <c r="K236" s="1091" t="s">
        <v>182</v>
      </c>
      <c r="L236" s="1092"/>
      <c r="M236" s="1093"/>
      <c r="S236" s="1091"/>
    </row>
    <row r="237" spans="1:19">
      <c r="A237" s="1091">
        <v>372</v>
      </c>
      <c r="B237" s="1091" t="s">
        <v>517</v>
      </c>
      <c r="C237" s="1091">
        <v>135743</v>
      </c>
      <c r="D237" s="1091">
        <v>3721107</v>
      </c>
      <c r="E237" s="1091">
        <v>1107</v>
      </c>
      <c r="F237" s="1091" t="s">
        <v>519</v>
      </c>
      <c r="G237" s="1091">
        <v>12</v>
      </c>
      <c r="H237" s="1092">
        <v>1364614</v>
      </c>
      <c r="I237" s="1092">
        <v>46396.876000000004</v>
      </c>
      <c r="J237" s="1091"/>
      <c r="K237" s="1091" t="s">
        <v>182</v>
      </c>
      <c r="L237" s="1092"/>
      <c r="M237" s="1093"/>
      <c r="S237" s="1091"/>
    </row>
    <row r="238" spans="1:19">
      <c r="A238" s="1091">
        <v>355</v>
      </c>
      <c r="B238" s="1091" t="s">
        <v>520</v>
      </c>
      <c r="C238" s="1091">
        <v>135952</v>
      </c>
      <c r="D238" s="1091">
        <v>3551106</v>
      </c>
      <c r="E238" s="1091">
        <v>1106</v>
      </c>
      <c r="F238" s="1091" t="s">
        <v>521</v>
      </c>
      <c r="G238" s="1091">
        <v>12</v>
      </c>
      <c r="H238" s="1092">
        <v>1067797</v>
      </c>
      <c r="I238" s="1092">
        <v>36305.098000000005</v>
      </c>
      <c r="J238" s="1091"/>
      <c r="K238" s="1091" t="s">
        <v>182</v>
      </c>
      <c r="L238" s="1092"/>
      <c r="M238" s="1093"/>
      <c r="S238" s="1091"/>
    </row>
    <row r="239" spans="1:19">
      <c r="A239" s="1091">
        <v>355</v>
      </c>
      <c r="B239" s="1091" t="s">
        <v>520</v>
      </c>
      <c r="C239" s="1091">
        <v>132741</v>
      </c>
      <c r="D239" s="1091">
        <v>3551101</v>
      </c>
      <c r="E239" s="1091">
        <v>1101</v>
      </c>
      <c r="F239" s="1091" t="s">
        <v>522</v>
      </c>
      <c r="G239" s="1091">
        <v>12</v>
      </c>
      <c r="H239" s="1092">
        <v>1023377</v>
      </c>
      <c r="I239" s="1092">
        <v>34794.817999999999</v>
      </c>
      <c r="J239" s="1091"/>
      <c r="K239" s="1091" t="s">
        <v>182</v>
      </c>
      <c r="L239" s="1092"/>
      <c r="M239" s="1093"/>
      <c r="S239" s="1091"/>
    </row>
    <row r="240" spans="1:19">
      <c r="A240" s="1091">
        <v>355</v>
      </c>
      <c r="B240" s="1091" t="s">
        <v>520</v>
      </c>
      <c r="C240" s="1091">
        <v>133678</v>
      </c>
      <c r="D240" s="1091">
        <v>3551103</v>
      </c>
      <c r="E240" s="1091">
        <v>1103</v>
      </c>
      <c r="F240" s="1091" t="s">
        <v>523</v>
      </c>
      <c r="G240" s="1091">
        <v>12</v>
      </c>
      <c r="H240" s="1092">
        <v>1316482</v>
      </c>
      <c r="I240" s="1092">
        <v>44760.388000000006</v>
      </c>
      <c r="J240" s="1091"/>
      <c r="K240" s="1091" t="s">
        <v>182</v>
      </c>
      <c r="L240" s="1092"/>
      <c r="M240" s="1093"/>
      <c r="S240" s="1091"/>
    </row>
    <row r="241" spans="1:19">
      <c r="A241" s="1091">
        <v>355</v>
      </c>
      <c r="B241" s="1091" t="s">
        <v>520</v>
      </c>
      <c r="C241" s="1091">
        <v>135504</v>
      </c>
      <c r="D241" s="1091">
        <v>3551105</v>
      </c>
      <c r="E241" s="1091">
        <v>1105</v>
      </c>
      <c r="F241" s="1091" t="s">
        <v>524</v>
      </c>
      <c r="G241" s="1091">
        <v>12</v>
      </c>
      <c r="H241" s="1092">
        <v>1442567</v>
      </c>
      <c r="I241" s="1092">
        <v>49047.278000000006</v>
      </c>
      <c r="J241" s="1091"/>
      <c r="K241" s="1091" t="s">
        <v>182</v>
      </c>
      <c r="L241" s="1092"/>
      <c r="M241" s="1093"/>
      <c r="S241" s="1091"/>
    </row>
    <row r="242" spans="1:19">
      <c r="A242" s="1091">
        <v>333</v>
      </c>
      <c r="B242" s="1091" t="s">
        <v>525</v>
      </c>
      <c r="C242" s="1091">
        <v>135253</v>
      </c>
      <c r="D242" s="1091">
        <v>3331106</v>
      </c>
      <c r="E242" s="1091">
        <v>1106</v>
      </c>
      <c r="F242" s="1091" t="s">
        <v>526</v>
      </c>
      <c r="G242" s="1091">
        <v>12</v>
      </c>
      <c r="H242" s="1092">
        <v>231421</v>
      </c>
      <c r="I242" s="1092">
        <v>7868.3140000000003</v>
      </c>
      <c r="J242" s="1091"/>
      <c r="K242" s="1091" t="s">
        <v>182</v>
      </c>
      <c r="L242" s="1092"/>
      <c r="M242" s="1093"/>
      <c r="S242" s="1091"/>
    </row>
    <row r="243" spans="1:19">
      <c r="A243" s="1091">
        <v>333</v>
      </c>
      <c r="B243" s="1091" t="s">
        <v>525</v>
      </c>
      <c r="C243" s="1091">
        <v>103887</v>
      </c>
      <c r="D243" s="1091">
        <v>3331100</v>
      </c>
      <c r="E243" s="1091">
        <v>1100</v>
      </c>
      <c r="F243" s="1091" t="s">
        <v>527</v>
      </c>
      <c r="G243" s="1091">
        <v>12</v>
      </c>
      <c r="H243" s="1092">
        <v>1300080</v>
      </c>
      <c r="I243" s="1092">
        <v>44202.720000000001</v>
      </c>
      <c r="J243" s="1091"/>
      <c r="K243" s="1091" t="s">
        <v>182</v>
      </c>
      <c r="L243" s="1092"/>
      <c r="M243" s="1093"/>
      <c r="S243" s="1091"/>
    </row>
    <row r="244" spans="1:19">
      <c r="A244" s="1091">
        <v>333</v>
      </c>
      <c r="B244" s="1091" t="s">
        <v>525</v>
      </c>
      <c r="C244" s="1091">
        <v>135254</v>
      </c>
      <c r="D244" s="1091">
        <v>3331107</v>
      </c>
      <c r="E244" s="1091">
        <v>1107</v>
      </c>
      <c r="F244" s="1091" t="s">
        <v>528</v>
      </c>
      <c r="G244" s="1091">
        <v>12</v>
      </c>
      <c r="H244" s="1092">
        <v>2435555</v>
      </c>
      <c r="I244" s="1092">
        <v>82808.87000000001</v>
      </c>
      <c r="J244" s="1091"/>
      <c r="K244" s="1091" t="s">
        <v>182</v>
      </c>
      <c r="L244" s="1092"/>
      <c r="M244" s="1093"/>
      <c r="S244" s="1091"/>
    </row>
    <row r="245" spans="1:19">
      <c r="A245" s="1091">
        <v>343</v>
      </c>
      <c r="B245" s="1091" t="s">
        <v>529</v>
      </c>
      <c r="C245" s="1091">
        <v>104849</v>
      </c>
      <c r="D245" s="1091">
        <v>3431100</v>
      </c>
      <c r="E245" s="1091">
        <v>1100</v>
      </c>
      <c r="F245" s="1091" t="s">
        <v>530</v>
      </c>
      <c r="G245" s="1091">
        <v>12</v>
      </c>
      <c r="H245" s="1092">
        <v>2424846</v>
      </c>
      <c r="I245" s="1092">
        <v>82444.76400000001</v>
      </c>
      <c r="J245" s="1091"/>
      <c r="K245" s="1091" t="s">
        <v>182</v>
      </c>
      <c r="L245" s="1092"/>
      <c r="M245" s="1093"/>
      <c r="S245" s="1091"/>
    </row>
    <row r="246" spans="1:19">
      <c r="A246" s="1091">
        <v>343</v>
      </c>
      <c r="B246" s="1091" t="s">
        <v>529</v>
      </c>
      <c r="C246" s="1091">
        <v>104850</v>
      </c>
      <c r="D246" s="1091">
        <v>3431101</v>
      </c>
      <c r="E246" s="1091">
        <v>1101</v>
      </c>
      <c r="F246" s="1091" t="s">
        <v>531</v>
      </c>
      <c r="G246" s="1091">
        <v>12</v>
      </c>
      <c r="H246" s="1092">
        <v>722018</v>
      </c>
      <c r="I246" s="1092">
        <v>24548.612000000001</v>
      </c>
      <c r="J246" s="1091"/>
      <c r="K246" s="1091" t="s">
        <v>182</v>
      </c>
      <c r="L246" s="1092"/>
      <c r="M246" s="1093"/>
      <c r="S246" s="1091"/>
    </row>
    <row r="247" spans="1:19">
      <c r="A247" s="1091">
        <v>373</v>
      </c>
      <c r="B247" s="1091" t="s">
        <v>532</v>
      </c>
      <c r="C247" s="1091">
        <v>137596</v>
      </c>
      <c r="D247" s="1091">
        <v>3731100</v>
      </c>
      <c r="E247" s="1091">
        <v>1100</v>
      </c>
      <c r="F247" s="1091" t="s">
        <v>533</v>
      </c>
      <c r="G247" s="1091">
        <v>12</v>
      </c>
      <c r="H247" s="1092">
        <v>3940463</v>
      </c>
      <c r="I247" s="1092">
        <v>133975.742</v>
      </c>
      <c r="J247" s="1091"/>
      <c r="K247" s="1091" t="s">
        <v>182</v>
      </c>
      <c r="L247" s="1092"/>
      <c r="M247" s="1093"/>
      <c r="S247" s="1091"/>
    </row>
    <row r="248" spans="1:19">
      <c r="A248" s="1091">
        <v>893</v>
      </c>
      <c r="B248" s="1091" t="s">
        <v>534</v>
      </c>
      <c r="C248" s="1091">
        <v>134390</v>
      </c>
      <c r="D248" s="1091">
        <v>8931100</v>
      </c>
      <c r="E248" s="1091">
        <v>1100</v>
      </c>
      <c r="F248" s="1091" t="s">
        <v>535</v>
      </c>
      <c r="G248" s="1091">
        <v>12</v>
      </c>
      <c r="H248" s="1092">
        <v>2963038</v>
      </c>
      <c r="I248" s="1092">
        <v>100743.292</v>
      </c>
      <c r="J248" s="1091"/>
      <c r="K248" s="1091" t="s">
        <v>182</v>
      </c>
      <c r="L248" s="1092"/>
      <c r="M248" s="1093"/>
      <c r="S248" s="1091"/>
    </row>
    <row r="249" spans="1:19">
      <c r="A249" s="1091">
        <v>871</v>
      </c>
      <c r="B249" s="1091" t="s">
        <v>536</v>
      </c>
      <c r="C249" s="1091">
        <v>142607</v>
      </c>
      <c r="D249" s="1091">
        <v>8714004</v>
      </c>
      <c r="E249" s="1091">
        <v>4004</v>
      </c>
      <c r="F249" s="1091" t="s">
        <v>537</v>
      </c>
      <c r="G249" s="1091">
        <v>12</v>
      </c>
      <c r="H249" s="1092">
        <v>4973970</v>
      </c>
      <c r="I249" s="1092">
        <v>169114.98</v>
      </c>
      <c r="J249" s="1091"/>
      <c r="K249" s="1091" t="s">
        <v>188</v>
      </c>
      <c r="L249" s="1092"/>
      <c r="M249" s="1093"/>
      <c r="S249" s="1091"/>
    </row>
    <row r="250" spans="1:19">
      <c r="A250" s="1091">
        <v>334</v>
      </c>
      <c r="B250" s="1091" t="s">
        <v>538</v>
      </c>
      <c r="C250" s="1091">
        <v>143918</v>
      </c>
      <c r="D250" s="1091">
        <v>3341108</v>
      </c>
      <c r="E250" s="1091">
        <v>1108</v>
      </c>
      <c r="F250" s="1091" t="s">
        <v>539</v>
      </c>
      <c r="G250" s="1091">
        <v>12</v>
      </c>
      <c r="H250" s="1092">
        <v>1922647.5</v>
      </c>
      <c r="I250" s="1092">
        <v>65370.015000000007</v>
      </c>
      <c r="J250" s="1091"/>
      <c r="K250" s="1091" t="s">
        <v>188</v>
      </c>
      <c r="L250" s="1092"/>
      <c r="M250" s="1093"/>
      <c r="S250" s="1091"/>
    </row>
    <row r="251" spans="1:19">
      <c r="A251" s="1091">
        <v>334</v>
      </c>
      <c r="B251" s="1091" t="s">
        <v>538</v>
      </c>
      <c r="C251" s="1091">
        <v>104038</v>
      </c>
      <c r="D251" s="1091">
        <v>3341102</v>
      </c>
      <c r="E251" s="1091">
        <v>1102</v>
      </c>
      <c r="F251" s="1091" t="s">
        <v>540</v>
      </c>
      <c r="G251" s="1091">
        <v>12</v>
      </c>
      <c r="H251" s="1092">
        <v>754432</v>
      </c>
      <c r="I251" s="1092">
        <v>25650.688000000002</v>
      </c>
      <c r="J251" s="1091"/>
      <c r="K251" s="1091" t="s">
        <v>182</v>
      </c>
      <c r="L251" s="1092"/>
      <c r="M251" s="1093"/>
      <c r="S251" s="1091"/>
    </row>
    <row r="252" spans="1:19">
      <c r="A252" s="1091">
        <v>334</v>
      </c>
      <c r="B252" s="1091" t="s">
        <v>538</v>
      </c>
      <c r="C252" s="1091">
        <v>133531</v>
      </c>
      <c r="D252" s="1091">
        <v>3341104</v>
      </c>
      <c r="E252" s="1091">
        <v>1104</v>
      </c>
      <c r="F252" s="1091" t="s">
        <v>541</v>
      </c>
      <c r="G252" s="1091">
        <v>12</v>
      </c>
      <c r="H252" s="1092">
        <v>762565</v>
      </c>
      <c r="I252" s="1092">
        <v>25927.210000000003</v>
      </c>
      <c r="J252" s="1091"/>
      <c r="K252" s="1091" t="s">
        <v>182</v>
      </c>
      <c r="L252" s="1092"/>
      <c r="M252" s="1093"/>
      <c r="S252" s="1091"/>
    </row>
    <row r="253" spans="1:19">
      <c r="A253" s="1091">
        <v>933</v>
      </c>
      <c r="B253" s="1091" t="s">
        <v>542</v>
      </c>
      <c r="C253" s="1091">
        <v>134697</v>
      </c>
      <c r="D253" s="1091">
        <v>9331112</v>
      </c>
      <c r="E253" s="1091">
        <v>1112</v>
      </c>
      <c r="F253" s="1091" t="s">
        <v>543</v>
      </c>
      <c r="G253" s="1091">
        <v>12</v>
      </c>
      <c r="H253" s="1092">
        <v>2050325</v>
      </c>
      <c r="I253" s="1092">
        <v>69711.05</v>
      </c>
      <c r="J253" s="1091"/>
      <c r="K253" s="1091" t="s">
        <v>182</v>
      </c>
      <c r="L253" s="1092"/>
      <c r="M253" s="1093"/>
      <c r="S253" s="1091"/>
    </row>
    <row r="254" spans="1:19">
      <c r="A254" s="1091">
        <v>933</v>
      </c>
      <c r="B254" s="1091" t="s">
        <v>542</v>
      </c>
      <c r="C254" s="1091">
        <v>134694</v>
      </c>
      <c r="D254" s="1091">
        <v>9331109</v>
      </c>
      <c r="E254" s="1091">
        <v>1109</v>
      </c>
      <c r="F254" s="1091" t="s">
        <v>544</v>
      </c>
      <c r="G254" s="1091">
        <v>12</v>
      </c>
      <c r="H254" s="1092">
        <v>1655560</v>
      </c>
      <c r="I254" s="1092">
        <v>56289.04</v>
      </c>
      <c r="J254" s="1091"/>
      <c r="K254" s="1091" t="s">
        <v>182</v>
      </c>
      <c r="L254" s="1092"/>
      <c r="M254" s="1093"/>
      <c r="S254" s="1091"/>
    </row>
    <row r="255" spans="1:19">
      <c r="A255" s="1091">
        <v>933</v>
      </c>
      <c r="B255" s="1091" t="s">
        <v>542</v>
      </c>
      <c r="C255" s="1091">
        <v>134699</v>
      </c>
      <c r="D255" s="1091">
        <v>9331114</v>
      </c>
      <c r="E255" s="1091">
        <v>1114</v>
      </c>
      <c r="F255" s="1091" t="s">
        <v>545</v>
      </c>
      <c r="G255" s="1091">
        <v>12</v>
      </c>
      <c r="H255" s="1092">
        <v>2208444</v>
      </c>
      <c r="I255" s="1092">
        <v>75087.096000000005</v>
      </c>
      <c r="J255" s="1091"/>
      <c r="K255" s="1091" t="s">
        <v>182</v>
      </c>
      <c r="L255" s="1092"/>
      <c r="M255" s="1093"/>
      <c r="S255" s="1091"/>
    </row>
    <row r="256" spans="1:19">
      <c r="A256" s="1091">
        <v>933</v>
      </c>
      <c r="B256" s="1091" t="s">
        <v>542</v>
      </c>
      <c r="C256" s="1091">
        <v>134758</v>
      </c>
      <c r="D256" s="1091">
        <v>9331115</v>
      </c>
      <c r="E256" s="1091">
        <v>1115</v>
      </c>
      <c r="F256" s="1091" t="s">
        <v>546</v>
      </c>
      <c r="G256" s="1091">
        <v>12</v>
      </c>
      <c r="H256" s="1092">
        <v>1905693</v>
      </c>
      <c r="I256" s="1092">
        <v>64793.562000000005</v>
      </c>
      <c r="J256" s="1091"/>
      <c r="K256" s="1091" t="s">
        <v>182</v>
      </c>
      <c r="L256" s="1092"/>
      <c r="M256" s="1093"/>
      <c r="S256" s="1091"/>
    </row>
    <row r="257" spans="1:19">
      <c r="A257" s="1091">
        <v>803</v>
      </c>
      <c r="B257" s="1091" t="s">
        <v>547</v>
      </c>
      <c r="C257" s="1091">
        <v>131626</v>
      </c>
      <c r="D257" s="1091">
        <v>8031100</v>
      </c>
      <c r="E257" s="1091">
        <v>1100</v>
      </c>
      <c r="F257" s="1091" t="s">
        <v>548</v>
      </c>
      <c r="G257" s="1091">
        <v>12</v>
      </c>
      <c r="H257" s="1092">
        <v>3893437</v>
      </c>
      <c r="I257" s="1092">
        <v>132376.85800000001</v>
      </c>
      <c r="J257" s="1091"/>
      <c r="K257" s="1091" t="s">
        <v>182</v>
      </c>
      <c r="L257" s="1092"/>
      <c r="M257" s="1093"/>
      <c r="S257" s="1091"/>
    </row>
    <row r="258" spans="1:19">
      <c r="A258" s="1091">
        <v>393</v>
      </c>
      <c r="B258" s="1091" t="s">
        <v>549</v>
      </c>
      <c r="C258" s="1091">
        <v>108666</v>
      </c>
      <c r="D258" s="1091">
        <v>3931100</v>
      </c>
      <c r="E258" s="1091">
        <v>1100</v>
      </c>
      <c r="F258" s="1091" t="s">
        <v>550</v>
      </c>
      <c r="G258" s="1091">
        <v>12</v>
      </c>
      <c r="H258" s="1092">
        <v>1084919</v>
      </c>
      <c r="I258" s="1092">
        <v>36887.245999999999</v>
      </c>
      <c r="J258" s="1091"/>
      <c r="K258" s="1091" t="s">
        <v>182</v>
      </c>
      <c r="L258" s="1092"/>
      <c r="M258" s="1093"/>
      <c r="S258" s="1091"/>
    </row>
    <row r="259" spans="1:19">
      <c r="A259" s="1091">
        <v>852</v>
      </c>
      <c r="B259" s="1091" t="s">
        <v>551</v>
      </c>
      <c r="C259" s="1091">
        <v>140649</v>
      </c>
      <c r="D259" s="1091">
        <v>8521115</v>
      </c>
      <c r="E259" s="1091">
        <v>1115</v>
      </c>
      <c r="F259" s="1091" t="s">
        <v>552</v>
      </c>
      <c r="G259" s="1091">
        <v>12</v>
      </c>
      <c r="H259" s="1092">
        <v>555045</v>
      </c>
      <c r="I259" s="1092">
        <v>18871.530000000002</v>
      </c>
      <c r="J259" s="1091"/>
      <c r="K259" s="1091" t="s">
        <v>188</v>
      </c>
      <c r="L259" s="1092"/>
      <c r="M259" s="1093"/>
      <c r="S259" s="1091"/>
    </row>
    <row r="260" spans="1:19">
      <c r="A260" s="1091">
        <v>852</v>
      </c>
      <c r="B260" s="1091" t="s">
        <v>551</v>
      </c>
      <c r="C260" s="1091">
        <v>133675</v>
      </c>
      <c r="D260" s="1091">
        <v>8521100</v>
      </c>
      <c r="E260" s="1091">
        <v>1100</v>
      </c>
      <c r="F260" s="1091" t="s">
        <v>553</v>
      </c>
      <c r="G260" s="1091">
        <v>12</v>
      </c>
      <c r="H260" s="1092">
        <v>1538809</v>
      </c>
      <c r="I260" s="1092">
        <v>52319.506000000001</v>
      </c>
      <c r="J260" s="1091"/>
      <c r="K260" s="1091" t="s">
        <v>182</v>
      </c>
      <c r="L260" s="1092"/>
      <c r="M260" s="1093"/>
      <c r="S260" s="1091"/>
    </row>
    <row r="261" spans="1:19">
      <c r="A261" s="1091">
        <v>882</v>
      </c>
      <c r="B261" s="1091" t="s">
        <v>554</v>
      </c>
      <c r="C261" s="1091">
        <v>139903</v>
      </c>
      <c r="D261" s="1091">
        <v>8821101</v>
      </c>
      <c r="E261" s="1091">
        <v>1101</v>
      </c>
      <c r="F261" s="1091" t="s">
        <v>555</v>
      </c>
      <c r="G261" s="1091">
        <v>12</v>
      </c>
      <c r="H261" s="1092">
        <v>854225</v>
      </c>
      <c r="I261" s="1092">
        <v>29043.65</v>
      </c>
      <c r="J261" s="1091"/>
      <c r="K261" s="1091" t="s">
        <v>188</v>
      </c>
      <c r="L261" s="1092"/>
      <c r="M261" s="1093"/>
      <c r="S261" s="1091"/>
    </row>
    <row r="262" spans="1:19">
      <c r="A262" s="1091">
        <v>882</v>
      </c>
      <c r="B262" s="1091" t="s">
        <v>554</v>
      </c>
      <c r="C262" s="1091">
        <v>142938</v>
      </c>
      <c r="D262" s="1091">
        <v>8821102</v>
      </c>
      <c r="E262" s="1091">
        <v>1102</v>
      </c>
      <c r="F262" s="1091" t="s">
        <v>556</v>
      </c>
      <c r="G262" s="1091">
        <v>12</v>
      </c>
      <c r="H262" s="1092">
        <v>1469525</v>
      </c>
      <c r="I262" s="1092">
        <v>49963.850000000006</v>
      </c>
      <c r="J262" s="1091"/>
      <c r="K262" s="1091" t="s">
        <v>188</v>
      </c>
      <c r="L262" s="1092"/>
      <c r="M262" s="1093"/>
      <c r="S262" s="1091"/>
    </row>
    <row r="263" spans="1:19">
      <c r="A263" s="1091">
        <v>210</v>
      </c>
      <c r="B263" s="1091" t="s">
        <v>557</v>
      </c>
      <c r="C263" s="1091">
        <v>135260</v>
      </c>
      <c r="D263" s="1091">
        <v>2101104</v>
      </c>
      <c r="E263" s="1091">
        <v>1104</v>
      </c>
      <c r="F263" s="1091" t="s">
        <v>558</v>
      </c>
      <c r="G263" s="1091">
        <v>12</v>
      </c>
      <c r="H263" s="1092">
        <v>2230575</v>
      </c>
      <c r="I263" s="1092">
        <v>75839.55</v>
      </c>
      <c r="J263" s="1091"/>
      <c r="K263" s="1091" t="s">
        <v>182</v>
      </c>
      <c r="L263" s="1092"/>
      <c r="M263" s="1093"/>
      <c r="S263" s="1091"/>
    </row>
    <row r="264" spans="1:19">
      <c r="A264" s="1091">
        <v>342</v>
      </c>
      <c r="B264" s="1091" t="s">
        <v>559</v>
      </c>
      <c r="C264" s="1091">
        <v>104757</v>
      </c>
      <c r="D264" s="1091">
        <v>3421100</v>
      </c>
      <c r="E264" s="1091">
        <v>1100</v>
      </c>
      <c r="F264" s="1091" t="s">
        <v>560</v>
      </c>
      <c r="G264" s="1091">
        <v>12</v>
      </c>
      <c r="H264" s="1092">
        <v>415121</v>
      </c>
      <c r="I264" s="1092">
        <v>14114.114000000001</v>
      </c>
      <c r="J264" s="1091"/>
      <c r="K264" s="1091" t="s">
        <v>182</v>
      </c>
      <c r="L264" s="1092"/>
      <c r="M264" s="1093"/>
      <c r="S264" s="1091"/>
    </row>
    <row r="265" spans="1:19">
      <c r="A265" s="1091">
        <v>342</v>
      </c>
      <c r="B265" s="1091" t="s">
        <v>559</v>
      </c>
      <c r="C265" s="1091">
        <v>132033</v>
      </c>
      <c r="D265" s="1091">
        <v>3421101</v>
      </c>
      <c r="E265" s="1091">
        <v>1101</v>
      </c>
      <c r="F265" s="1091" t="s">
        <v>561</v>
      </c>
      <c r="G265" s="1091">
        <v>12</v>
      </c>
      <c r="H265" s="1092">
        <v>1492255</v>
      </c>
      <c r="I265" s="1092">
        <v>50736.670000000006</v>
      </c>
      <c r="J265" s="1091"/>
      <c r="K265" s="1091" t="s">
        <v>182</v>
      </c>
      <c r="L265" s="1092"/>
      <c r="M265" s="1093"/>
      <c r="S265" s="1091"/>
    </row>
    <row r="266" spans="1:19">
      <c r="A266" s="1091">
        <v>860</v>
      </c>
      <c r="B266" s="1091" t="s">
        <v>562</v>
      </c>
      <c r="C266" s="1091">
        <v>148235</v>
      </c>
      <c r="D266" s="1091">
        <v>8601112</v>
      </c>
      <c r="E266" s="1091">
        <v>1112</v>
      </c>
      <c r="F266" s="1091" t="s">
        <v>563</v>
      </c>
      <c r="G266" s="1091">
        <v>12</v>
      </c>
      <c r="H266" s="1092">
        <v>1078107.5</v>
      </c>
      <c r="I266" s="1092">
        <v>36655.655000000006</v>
      </c>
      <c r="J266" s="1091"/>
      <c r="K266" s="1091" t="s">
        <v>188</v>
      </c>
      <c r="L266" s="1092"/>
      <c r="M266" s="1093"/>
      <c r="S266" s="1091"/>
    </row>
    <row r="267" spans="1:19">
      <c r="A267" s="1091">
        <v>860</v>
      </c>
      <c r="B267" s="1091" t="s">
        <v>562</v>
      </c>
      <c r="C267" s="1091">
        <v>146272</v>
      </c>
      <c r="D267" s="1091">
        <v>8601103</v>
      </c>
      <c r="E267" s="1091">
        <v>1103</v>
      </c>
      <c r="F267" s="1091" t="s">
        <v>564</v>
      </c>
      <c r="G267" s="1091">
        <v>12</v>
      </c>
      <c r="H267" s="1092">
        <v>1004972.5</v>
      </c>
      <c r="I267" s="1092">
        <v>34169.065000000002</v>
      </c>
      <c r="J267" s="1091"/>
      <c r="K267" s="1091" t="s">
        <v>188</v>
      </c>
      <c r="L267" s="1092"/>
      <c r="M267" s="1093"/>
      <c r="S267" s="1091"/>
    </row>
    <row r="268" spans="1:19">
      <c r="A268" s="1091">
        <v>860</v>
      </c>
      <c r="B268" s="1091" t="s">
        <v>562</v>
      </c>
      <c r="C268" s="1091">
        <v>133583</v>
      </c>
      <c r="D268" s="1091">
        <v>8601109</v>
      </c>
      <c r="E268" s="1091">
        <v>1109</v>
      </c>
      <c r="F268" s="1091" t="s">
        <v>565</v>
      </c>
      <c r="G268" s="1091">
        <v>12</v>
      </c>
      <c r="H268" s="1092">
        <v>1013880</v>
      </c>
      <c r="I268" s="1092">
        <v>34471.920000000006</v>
      </c>
      <c r="J268" s="1091"/>
      <c r="K268" s="1091" t="s">
        <v>182</v>
      </c>
      <c r="L268" s="1092"/>
      <c r="M268" s="1093"/>
      <c r="S268" s="1091"/>
    </row>
    <row r="269" spans="1:19">
      <c r="A269" s="1091">
        <v>860</v>
      </c>
      <c r="B269" s="1091" t="s">
        <v>562</v>
      </c>
      <c r="C269" s="1091">
        <v>132131</v>
      </c>
      <c r="D269" s="1091">
        <v>8601105</v>
      </c>
      <c r="E269" s="1091">
        <v>1105</v>
      </c>
      <c r="F269" s="1091" t="s">
        <v>566</v>
      </c>
      <c r="G269" s="1091">
        <v>12</v>
      </c>
      <c r="H269" s="1092">
        <v>1047695</v>
      </c>
      <c r="I269" s="1092">
        <v>35621.630000000005</v>
      </c>
      <c r="J269" s="1091"/>
      <c r="K269" s="1091" t="s">
        <v>182</v>
      </c>
      <c r="L269" s="1092"/>
      <c r="M269" s="1093"/>
      <c r="S269" s="1091"/>
    </row>
    <row r="270" spans="1:19">
      <c r="A270" s="1091">
        <v>860</v>
      </c>
      <c r="B270" s="1091" t="s">
        <v>562</v>
      </c>
      <c r="C270" s="1091">
        <v>134880</v>
      </c>
      <c r="D270" s="1091">
        <v>8601111</v>
      </c>
      <c r="E270" s="1091">
        <v>1111</v>
      </c>
      <c r="F270" s="1091" t="s">
        <v>567</v>
      </c>
      <c r="G270" s="1091">
        <v>12</v>
      </c>
      <c r="H270" s="1092">
        <v>882439</v>
      </c>
      <c r="I270" s="1092">
        <v>30002.926000000003</v>
      </c>
      <c r="J270" s="1091"/>
      <c r="K270" s="1091" t="s">
        <v>182</v>
      </c>
      <c r="L270" s="1092"/>
      <c r="M270" s="1093"/>
      <c r="S270" s="1091"/>
    </row>
    <row r="271" spans="1:19">
      <c r="A271" s="1091">
        <v>860</v>
      </c>
      <c r="B271" s="1091" t="s">
        <v>562</v>
      </c>
      <c r="C271" s="1091">
        <v>131652</v>
      </c>
      <c r="D271" s="1091">
        <v>8601106</v>
      </c>
      <c r="E271" s="1091">
        <v>1106</v>
      </c>
      <c r="F271" s="1091" t="s">
        <v>568</v>
      </c>
      <c r="G271" s="1091">
        <v>12</v>
      </c>
      <c r="H271" s="1092">
        <v>1127552</v>
      </c>
      <c r="I271" s="1092">
        <v>38336.768000000004</v>
      </c>
      <c r="J271" s="1091"/>
      <c r="K271" s="1091" t="s">
        <v>182</v>
      </c>
      <c r="L271" s="1092"/>
      <c r="M271" s="1093"/>
      <c r="S271" s="1091"/>
    </row>
    <row r="272" spans="1:19">
      <c r="A272" s="1091">
        <v>356</v>
      </c>
      <c r="B272" s="1091" t="s">
        <v>569</v>
      </c>
      <c r="C272" s="1091">
        <v>106022</v>
      </c>
      <c r="D272" s="1091">
        <v>3561100</v>
      </c>
      <c r="E272" s="1091">
        <v>1100</v>
      </c>
      <c r="F272" s="1091" t="s">
        <v>570</v>
      </c>
      <c r="G272" s="1091">
        <v>12</v>
      </c>
      <c r="H272" s="1092">
        <v>640498</v>
      </c>
      <c r="I272" s="1092">
        <v>21776.932000000001</v>
      </c>
      <c r="J272" s="1091"/>
      <c r="K272" s="1091" t="s">
        <v>182</v>
      </c>
      <c r="L272" s="1092"/>
      <c r="M272" s="1093"/>
      <c r="S272" s="1091"/>
    </row>
    <row r="273" spans="1:19">
      <c r="A273" s="1091">
        <v>356</v>
      </c>
      <c r="B273" s="1091" t="s">
        <v>569</v>
      </c>
      <c r="C273" s="1091">
        <v>106023</v>
      </c>
      <c r="D273" s="1091">
        <v>3561101</v>
      </c>
      <c r="E273" s="1091">
        <v>1101</v>
      </c>
      <c r="F273" s="1091" t="s">
        <v>571</v>
      </c>
      <c r="G273" s="1091">
        <v>12</v>
      </c>
      <c r="H273" s="1092">
        <v>283237</v>
      </c>
      <c r="I273" s="1092">
        <v>9630.0580000000009</v>
      </c>
      <c r="J273" s="1091"/>
      <c r="K273" s="1091" t="s">
        <v>182</v>
      </c>
      <c r="L273" s="1092"/>
      <c r="M273" s="1093"/>
      <c r="S273" s="1091"/>
    </row>
    <row r="274" spans="1:19">
      <c r="A274" s="1091">
        <v>356</v>
      </c>
      <c r="B274" s="1091" t="s">
        <v>569</v>
      </c>
      <c r="C274" s="1091">
        <v>134623</v>
      </c>
      <c r="D274" s="1091">
        <v>3561103</v>
      </c>
      <c r="E274" s="1091">
        <v>1103</v>
      </c>
      <c r="F274" s="1091" t="s">
        <v>572</v>
      </c>
      <c r="G274" s="1091">
        <v>12</v>
      </c>
      <c r="H274" s="1092">
        <v>2500934</v>
      </c>
      <c r="I274" s="1092">
        <v>85031.756000000008</v>
      </c>
      <c r="J274" s="1091"/>
      <c r="K274" s="1091" t="s">
        <v>182</v>
      </c>
      <c r="L274" s="1092"/>
      <c r="M274" s="1093"/>
      <c r="S274" s="1091"/>
    </row>
    <row r="275" spans="1:19">
      <c r="A275" s="1091">
        <v>808</v>
      </c>
      <c r="B275" s="1091" t="s">
        <v>573</v>
      </c>
      <c r="C275" s="1091">
        <v>148601</v>
      </c>
      <c r="D275" s="1091">
        <v>8081101</v>
      </c>
      <c r="E275" s="1091">
        <v>1101</v>
      </c>
      <c r="F275" s="1091" t="s">
        <v>574</v>
      </c>
      <c r="G275" s="1091">
        <v>12</v>
      </c>
      <c r="H275" s="1092">
        <v>1294277.5</v>
      </c>
      <c r="I275" s="1092">
        <v>44005.435000000005</v>
      </c>
      <c r="J275" s="1091"/>
      <c r="K275" s="1091" t="s">
        <v>188</v>
      </c>
      <c r="L275" s="1092"/>
      <c r="M275" s="1093"/>
      <c r="S275" s="1091"/>
    </row>
    <row r="276" spans="1:19">
      <c r="A276" s="1091">
        <v>808</v>
      </c>
      <c r="B276" s="1091" t="s">
        <v>573</v>
      </c>
      <c r="C276" s="1091">
        <v>111521</v>
      </c>
      <c r="D276" s="1091">
        <v>8081101</v>
      </c>
      <c r="E276" s="1091">
        <v>1101</v>
      </c>
      <c r="F276" s="1091" t="s">
        <v>575</v>
      </c>
      <c r="G276" s="1091">
        <v>1</v>
      </c>
      <c r="H276" s="1092" t="s">
        <v>245</v>
      </c>
      <c r="J276" s="1091"/>
      <c r="K276" s="1091" t="s">
        <v>182</v>
      </c>
      <c r="L276" s="1092"/>
      <c r="M276" s="1093"/>
      <c r="S276" s="1091"/>
    </row>
    <row r="277" spans="1:19">
      <c r="A277" s="1091">
        <v>861</v>
      </c>
      <c r="B277" s="1091" t="s">
        <v>576</v>
      </c>
      <c r="C277" s="1091">
        <v>134159</v>
      </c>
      <c r="D277" s="1091">
        <v>8611111</v>
      </c>
      <c r="E277" s="1091">
        <v>1111</v>
      </c>
      <c r="F277" s="1091" t="s">
        <v>577</v>
      </c>
      <c r="G277" s="1091">
        <v>12</v>
      </c>
      <c r="H277" s="1092">
        <v>599812</v>
      </c>
      <c r="I277" s="1092">
        <v>20393.608</v>
      </c>
      <c r="J277" s="1091"/>
      <c r="K277" s="1091" t="s">
        <v>182</v>
      </c>
      <c r="L277" s="1092"/>
      <c r="M277" s="1093"/>
      <c r="S277" s="1091"/>
    </row>
    <row r="278" spans="1:19">
      <c r="A278" s="1091">
        <v>935</v>
      </c>
      <c r="B278" s="1091" t="s">
        <v>578</v>
      </c>
      <c r="C278" s="1091">
        <v>144879</v>
      </c>
      <c r="D278" s="1091">
        <v>9351111</v>
      </c>
      <c r="E278" s="1091">
        <v>1111</v>
      </c>
      <c r="F278" s="1091" t="s">
        <v>579</v>
      </c>
      <c r="G278" s="1091">
        <v>12</v>
      </c>
      <c r="H278" s="1092">
        <v>535620</v>
      </c>
      <c r="I278" s="1092">
        <v>18211.080000000002</v>
      </c>
      <c r="J278" s="1091"/>
      <c r="K278" s="1091" t="s">
        <v>188</v>
      </c>
      <c r="L278" s="1092"/>
      <c r="M278" s="1093"/>
      <c r="S278" s="1091"/>
    </row>
    <row r="279" spans="1:19">
      <c r="A279" s="1091">
        <v>935</v>
      </c>
      <c r="B279" s="1091" t="s">
        <v>578</v>
      </c>
      <c r="C279" s="1091">
        <v>147594</v>
      </c>
      <c r="D279" s="1091">
        <v>9351116</v>
      </c>
      <c r="E279" s="1091">
        <v>1116</v>
      </c>
      <c r="F279" s="1091" t="s">
        <v>580</v>
      </c>
      <c r="G279" s="1091">
        <v>12</v>
      </c>
      <c r="H279" s="1092">
        <v>557327.5</v>
      </c>
      <c r="I279" s="1092">
        <v>18949.135000000002</v>
      </c>
      <c r="J279" s="1091"/>
      <c r="K279" s="1091" t="s">
        <v>188</v>
      </c>
      <c r="L279" s="1092"/>
      <c r="M279" s="1093"/>
      <c r="S279" s="1091"/>
    </row>
    <row r="280" spans="1:19">
      <c r="A280" s="1091">
        <v>935</v>
      </c>
      <c r="B280" s="1091" t="s">
        <v>578</v>
      </c>
      <c r="C280" s="1091">
        <v>146072</v>
      </c>
      <c r="D280" s="1091">
        <v>9351108</v>
      </c>
      <c r="E280" s="1091">
        <v>1108</v>
      </c>
      <c r="F280" s="1091" t="s">
        <v>581</v>
      </c>
      <c r="G280" s="1091">
        <v>12</v>
      </c>
      <c r="H280" s="1092">
        <v>132000</v>
      </c>
      <c r="I280" s="1092">
        <v>4488</v>
      </c>
      <c r="J280" s="1091"/>
      <c r="K280" s="1091" t="s">
        <v>188</v>
      </c>
      <c r="L280" s="1092"/>
      <c r="M280" s="1093"/>
      <c r="S280" s="1091"/>
    </row>
    <row r="281" spans="1:19">
      <c r="A281" s="1091">
        <v>935</v>
      </c>
      <c r="B281" s="1091" t="s">
        <v>578</v>
      </c>
      <c r="C281" s="1091">
        <v>145101</v>
      </c>
      <c r="D281" s="1091">
        <v>9351107</v>
      </c>
      <c r="E281" s="1091">
        <v>1107</v>
      </c>
      <c r="F281" s="1091" t="s">
        <v>582</v>
      </c>
      <c r="G281" s="1091">
        <v>12</v>
      </c>
      <c r="H281" s="1092">
        <v>334655</v>
      </c>
      <c r="I281" s="1092">
        <v>11378.27</v>
      </c>
      <c r="J281" s="1091"/>
      <c r="K281" s="1091" t="s">
        <v>188</v>
      </c>
      <c r="L281" s="1092"/>
      <c r="M281" s="1093"/>
      <c r="S281" s="1091"/>
    </row>
    <row r="282" spans="1:19">
      <c r="A282" s="1091">
        <v>935</v>
      </c>
      <c r="B282" s="1091" t="s">
        <v>578</v>
      </c>
      <c r="C282" s="1091">
        <v>142820</v>
      </c>
      <c r="D282" s="1091">
        <v>9351114</v>
      </c>
      <c r="E282" s="1091">
        <v>1114</v>
      </c>
      <c r="F282" s="1091" t="s">
        <v>583</v>
      </c>
      <c r="G282" s="1091">
        <v>12</v>
      </c>
      <c r="H282" s="1092">
        <v>1803995</v>
      </c>
      <c r="I282" s="1092">
        <v>61335.83</v>
      </c>
      <c r="J282" s="1091"/>
      <c r="K282" s="1091" t="s">
        <v>188</v>
      </c>
      <c r="L282" s="1092"/>
      <c r="M282" s="1093"/>
      <c r="S282" s="1091"/>
    </row>
    <row r="283" spans="1:19">
      <c r="A283" s="1091">
        <v>935</v>
      </c>
      <c r="B283" s="1091" t="s">
        <v>578</v>
      </c>
      <c r="C283" s="1091">
        <v>142801</v>
      </c>
      <c r="D283" s="1091">
        <v>9351101</v>
      </c>
      <c r="E283" s="1091">
        <v>1101</v>
      </c>
      <c r="F283" s="1091" t="s">
        <v>584</v>
      </c>
      <c r="G283" s="1091">
        <v>12</v>
      </c>
      <c r="H283" s="1092">
        <v>1790900</v>
      </c>
      <c r="I283" s="1092">
        <v>60890.600000000006</v>
      </c>
      <c r="J283" s="1091"/>
      <c r="K283" s="1091" t="s">
        <v>188</v>
      </c>
      <c r="L283" s="1092"/>
      <c r="M283" s="1093"/>
      <c r="S283" s="1091"/>
    </row>
    <row r="284" spans="1:19">
      <c r="A284" s="1091">
        <v>935</v>
      </c>
      <c r="B284" s="1091" t="s">
        <v>578</v>
      </c>
      <c r="C284" s="1091">
        <v>143490</v>
      </c>
      <c r="D284" s="1091">
        <v>9351110</v>
      </c>
      <c r="E284" s="1091">
        <v>1110</v>
      </c>
      <c r="F284" s="1091" t="s">
        <v>585</v>
      </c>
      <c r="G284" s="1091">
        <v>12</v>
      </c>
      <c r="H284" s="1092">
        <v>226382.5</v>
      </c>
      <c r="I284" s="1092">
        <v>7697.0050000000001</v>
      </c>
      <c r="J284" s="1091"/>
      <c r="K284" s="1091" t="s">
        <v>188</v>
      </c>
      <c r="L284" s="1092"/>
      <c r="M284" s="1093"/>
      <c r="S284" s="1091"/>
    </row>
    <row r="285" spans="1:19">
      <c r="A285" s="1091">
        <v>935</v>
      </c>
      <c r="B285" s="1091" t="s">
        <v>578</v>
      </c>
      <c r="C285" s="1091">
        <v>146422</v>
      </c>
      <c r="D285" s="1091">
        <v>9351103</v>
      </c>
      <c r="E285" s="1091">
        <v>1103</v>
      </c>
      <c r="F285" s="1091" t="s">
        <v>586</v>
      </c>
      <c r="G285" s="1091">
        <v>12</v>
      </c>
      <c r="H285" s="1092">
        <v>943360</v>
      </c>
      <c r="I285" s="1092">
        <v>32074.240000000002</v>
      </c>
      <c r="J285" s="1091"/>
      <c r="K285" s="1091" t="s">
        <v>188</v>
      </c>
      <c r="L285" s="1092"/>
      <c r="M285" s="1093"/>
      <c r="S285" s="1091"/>
    </row>
    <row r="286" spans="1:19">
      <c r="A286" s="1091">
        <v>935</v>
      </c>
      <c r="B286" s="1091" t="s">
        <v>578</v>
      </c>
      <c r="C286" s="1091">
        <v>131822</v>
      </c>
      <c r="D286" s="1091">
        <v>9351105</v>
      </c>
      <c r="E286" s="1091">
        <v>1105</v>
      </c>
      <c r="F286" s="1091" t="s">
        <v>587</v>
      </c>
      <c r="G286" s="1091">
        <v>5</v>
      </c>
      <c r="H286" s="1092" t="s">
        <v>245</v>
      </c>
      <c r="J286" s="1091"/>
      <c r="K286" s="1091" t="s">
        <v>182</v>
      </c>
      <c r="L286" s="1092"/>
      <c r="M286" s="1093"/>
      <c r="S286" s="1091"/>
    </row>
    <row r="287" spans="1:19">
      <c r="A287" s="1091">
        <v>935</v>
      </c>
      <c r="B287" s="1091" t="s">
        <v>578</v>
      </c>
      <c r="C287" s="1091">
        <v>140121</v>
      </c>
      <c r="D287" s="1091">
        <v>9351113</v>
      </c>
      <c r="E287" s="1091">
        <v>1113</v>
      </c>
      <c r="F287" s="1091" t="s">
        <v>588</v>
      </c>
      <c r="G287" s="1091">
        <v>12</v>
      </c>
      <c r="H287" s="1092">
        <v>2550487</v>
      </c>
      <c r="I287" s="1092">
        <v>86716.558000000005</v>
      </c>
      <c r="J287" s="1091"/>
      <c r="K287" s="1091" t="s">
        <v>182</v>
      </c>
      <c r="L287" s="1092"/>
      <c r="M287" s="1093"/>
      <c r="S287" s="1091"/>
    </row>
    <row r="288" spans="1:19">
      <c r="A288" s="1091">
        <v>935</v>
      </c>
      <c r="B288" s="1091" t="s">
        <v>578</v>
      </c>
      <c r="C288" s="1091">
        <v>134762</v>
      </c>
      <c r="D288" s="1091">
        <v>9351109</v>
      </c>
      <c r="E288" s="1091">
        <v>1109</v>
      </c>
      <c r="F288" s="1091" t="s">
        <v>589</v>
      </c>
      <c r="G288" s="1091">
        <v>5</v>
      </c>
      <c r="H288" s="1092" t="s">
        <v>245</v>
      </c>
      <c r="J288" s="1091"/>
      <c r="K288" s="1091" t="s">
        <v>182</v>
      </c>
      <c r="L288" s="1092"/>
      <c r="M288" s="1093"/>
      <c r="S288" s="1091"/>
    </row>
    <row r="289" spans="1:19">
      <c r="A289" s="1091">
        <v>935</v>
      </c>
      <c r="B289" s="1091" t="s">
        <v>578</v>
      </c>
      <c r="C289" s="1091">
        <v>124526</v>
      </c>
      <c r="D289" s="1091">
        <v>9351100</v>
      </c>
      <c r="E289" s="1091">
        <v>1100</v>
      </c>
      <c r="F289" s="1091" t="s">
        <v>590</v>
      </c>
      <c r="G289" s="1091">
        <v>5</v>
      </c>
      <c r="H289" s="1092" t="s">
        <v>245</v>
      </c>
      <c r="J289" s="1091"/>
      <c r="K289" s="1091" t="s">
        <v>182</v>
      </c>
      <c r="L289" s="1092"/>
      <c r="M289" s="1093"/>
      <c r="S289" s="1091"/>
    </row>
    <row r="290" spans="1:19">
      <c r="A290" s="1091">
        <v>935</v>
      </c>
      <c r="B290" s="1091" t="s">
        <v>578</v>
      </c>
      <c r="C290" s="1091">
        <v>142808</v>
      </c>
      <c r="D290" s="1091">
        <v>9351102</v>
      </c>
      <c r="E290" s="1091">
        <v>1102</v>
      </c>
      <c r="F290" s="1091" t="s">
        <v>591</v>
      </c>
      <c r="G290" s="1091">
        <v>12</v>
      </c>
      <c r="H290" s="1092">
        <v>1009495</v>
      </c>
      <c r="I290" s="1092">
        <v>34322.83</v>
      </c>
      <c r="J290" s="1091"/>
      <c r="K290" s="1091" t="s">
        <v>188</v>
      </c>
      <c r="L290" s="1092"/>
      <c r="M290" s="1093"/>
      <c r="S290" s="1091"/>
    </row>
    <row r="291" spans="1:19">
      <c r="A291" s="1091">
        <v>394</v>
      </c>
      <c r="B291" s="1091" t="s">
        <v>592</v>
      </c>
      <c r="C291" s="1091">
        <v>142882</v>
      </c>
      <c r="D291" s="1091">
        <v>3941105</v>
      </c>
      <c r="E291" s="1091">
        <v>1105</v>
      </c>
      <c r="F291" s="1091" t="s">
        <v>593</v>
      </c>
      <c r="G291" s="1091">
        <v>12</v>
      </c>
      <c r="H291" s="1092">
        <v>1351522.5</v>
      </c>
      <c r="I291" s="1092">
        <v>45951.765000000007</v>
      </c>
      <c r="J291" s="1091"/>
      <c r="K291" s="1091" t="s">
        <v>188</v>
      </c>
      <c r="L291" s="1092"/>
      <c r="M291" s="1093"/>
      <c r="S291" s="1091"/>
    </row>
    <row r="292" spans="1:19">
      <c r="A292" s="1091">
        <v>394</v>
      </c>
      <c r="B292" s="1091" t="s">
        <v>592</v>
      </c>
      <c r="C292" s="1091">
        <v>148127</v>
      </c>
      <c r="D292" s="1091">
        <v>3941104</v>
      </c>
      <c r="E292" s="1091">
        <v>1104</v>
      </c>
      <c r="F292" s="1091" t="s">
        <v>594</v>
      </c>
      <c r="G292" s="1091">
        <v>12</v>
      </c>
      <c r="H292" s="1092">
        <v>494000</v>
      </c>
      <c r="I292" s="1092">
        <v>16796</v>
      </c>
      <c r="J292" s="1091"/>
      <c r="K292" s="1091" t="s">
        <v>188</v>
      </c>
      <c r="L292" s="1092"/>
      <c r="M292" s="1093"/>
      <c r="S292" s="1091"/>
    </row>
    <row r="293" spans="1:19">
      <c r="A293" s="1091">
        <v>394</v>
      </c>
      <c r="B293" s="1091" t="s">
        <v>592</v>
      </c>
      <c r="C293" s="1091">
        <v>135640</v>
      </c>
      <c r="D293" s="1091">
        <v>3941102</v>
      </c>
      <c r="E293" s="1091">
        <v>1102</v>
      </c>
      <c r="F293" s="1091" t="s">
        <v>595</v>
      </c>
      <c r="G293" s="1091">
        <v>12</v>
      </c>
      <c r="H293" s="1092">
        <v>2603318</v>
      </c>
      <c r="I293" s="1092">
        <v>88512.812000000005</v>
      </c>
      <c r="J293" s="1091"/>
      <c r="K293" s="1091" t="s">
        <v>182</v>
      </c>
      <c r="L293" s="1092"/>
      <c r="M293" s="1093"/>
      <c r="S293" s="1091"/>
    </row>
    <row r="294" spans="1:19">
      <c r="A294" s="1091">
        <v>936</v>
      </c>
      <c r="B294" s="1091" t="s">
        <v>596</v>
      </c>
      <c r="C294" s="1091">
        <v>148123</v>
      </c>
      <c r="D294" s="1091">
        <v>9361100</v>
      </c>
      <c r="E294" s="1091">
        <v>1100</v>
      </c>
      <c r="F294" s="1091" t="s">
        <v>597</v>
      </c>
      <c r="G294" s="1091">
        <v>12</v>
      </c>
      <c r="H294" s="1092">
        <v>506620</v>
      </c>
      <c r="I294" s="1092">
        <v>17225.080000000002</v>
      </c>
      <c r="J294" s="1091"/>
      <c r="K294" s="1091" t="s">
        <v>188</v>
      </c>
      <c r="L294" s="1092"/>
      <c r="M294" s="1093"/>
      <c r="S294" s="1091"/>
    </row>
    <row r="295" spans="1:19">
      <c r="A295" s="1091">
        <v>936</v>
      </c>
      <c r="B295" s="1091" t="s">
        <v>596</v>
      </c>
      <c r="C295" s="1091">
        <v>148129</v>
      </c>
      <c r="D295" s="1091">
        <v>9361127</v>
      </c>
      <c r="E295" s="1091">
        <v>1127</v>
      </c>
      <c r="F295" s="1091" t="s">
        <v>598</v>
      </c>
      <c r="G295" s="1091">
        <v>12</v>
      </c>
      <c r="H295" s="1092">
        <v>1538235</v>
      </c>
      <c r="I295" s="1092">
        <v>52299.990000000005</v>
      </c>
      <c r="J295" s="1091"/>
      <c r="K295" s="1091" t="s">
        <v>188</v>
      </c>
      <c r="L295" s="1092"/>
      <c r="M295" s="1093"/>
      <c r="S295" s="1091"/>
    </row>
    <row r="296" spans="1:19">
      <c r="A296" s="1091">
        <v>936</v>
      </c>
      <c r="B296" s="1091" t="s">
        <v>596</v>
      </c>
      <c r="C296" s="1091">
        <v>135893</v>
      </c>
      <c r="D296" s="1091">
        <v>9361127</v>
      </c>
      <c r="E296" s="1091">
        <v>1127</v>
      </c>
      <c r="F296" s="1091" t="s">
        <v>598</v>
      </c>
      <c r="G296" s="1091">
        <v>5</v>
      </c>
      <c r="H296" s="1092" t="s">
        <v>245</v>
      </c>
      <c r="J296" s="1091"/>
      <c r="K296" s="1091" t="s">
        <v>182</v>
      </c>
      <c r="L296" s="1092"/>
      <c r="M296" s="1093"/>
      <c r="S296" s="1091"/>
    </row>
    <row r="297" spans="1:19">
      <c r="A297" s="1091">
        <v>936</v>
      </c>
      <c r="B297" s="1091" t="s">
        <v>596</v>
      </c>
      <c r="C297" s="1091">
        <v>134870</v>
      </c>
      <c r="D297" s="1091">
        <v>9361122</v>
      </c>
      <c r="E297" s="1091">
        <v>1122</v>
      </c>
      <c r="F297" s="1091" t="s">
        <v>599</v>
      </c>
      <c r="G297" s="1091">
        <v>12</v>
      </c>
      <c r="H297" s="1092">
        <v>586200</v>
      </c>
      <c r="I297" s="1092">
        <v>19930.800000000003</v>
      </c>
      <c r="J297" s="1091"/>
      <c r="K297" s="1091" t="s">
        <v>182</v>
      </c>
      <c r="L297" s="1092"/>
      <c r="M297" s="1093"/>
      <c r="S297" s="1091"/>
    </row>
    <row r="298" spans="1:19">
      <c r="A298" s="1091">
        <v>936</v>
      </c>
      <c r="B298" s="1091" t="s">
        <v>596</v>
      </c>
      <c r="C298" s="1091">
        <v>134108</v>
      </c>
      <c r="D298" s="1091">
        <v>9361120</v>
      </c>
      <c r="E298" s="1091">
        <v>1120</v>
      </c>
      <c r="F298" s="1091" t="s">
        <v>600</v>
      </c>
      <c r="G298" s="1091">
        <v>12</v>
      </c>
      <c r="H298" s="1092">
        <v>495609</v>
      </c>
      <c r="I298" s="1092">
        <v>16850.706000000002</v>
      </c>
      <c r="J298" s="1091"/>
      <c r="K298" s="1091" t="s">
        <v>182</v>
      </c>
      <c r="L298" s="1092"/>
      <c r="M298" s="1093"/>
      <c r="S298" s="1091"/>
    </row>
    <row r="299" spans="1:19">
      <c r="A299" s="1091">
        <v>936</v>
      </c>
      <c r="B299" s="1091" t="s">
        <v>596</v>
      </c>
      <c r="C299" s="1091">
        <v>124923</v>
      </c>
      <c r="D299" s="1091">
        <v>9361107</v>
      </c>
      <c r="E299" s="1091">
        <v>1107</v>
      </c>
      <c r="F299" s="1091" t="s">
        <v>601</v>
      </c>
      <c r="G299" s="1091">
        <v>5</v>
      </c>
      <c r="H299" s="1092" t="s">
        <v>245</v>
      </c>
      <c r="J299" s="1091"/>
      <c r="K299" s="1091" t="s">
        <v>182</v>
      </c>
      <c r="L299" s="1092"/>
      <c r="M299" s="1093"/>
      <c r="S299" s="1091"/>
    </row>
    <row r="300" spans="1:19">
      <c r="A300" s="1091">
        <v>936</v>
      </c>
      <c r="B300" s="1091" t="s">
        <v>596</v>
      </c>
      <c r="C300" s="1091">
        <v>135891</v>
      </c>
      <c r="D300" s="1091">
        <v>9361126</v>
      </c>
      <c r="E300" s="1091">
        <v>1126</v>
      </c>
      <c r="F300" s="1091" t="s">
        <v>602</v>
      </c>
      <c r="G300" s="1091">
        <v>12</v>
      </c>
      <c r="H300" s="1092">
        <v>1309394</v>
      </c>
      <c r="I300" s="1092">
        <v>44519.396000000001</v>
      </c>
      <c r="J300" s="1091"/>
      <c r="K300" s="1091" t="s">
        <v>182</v>
      </c>
      <c r="L300" s="1092"/>
      <c r="M300" s="1093"/>
      <c r="S300" s="1091"/>
    </row>
    <row r="301" spans="1:19">
      <c r="A301" s="1091">
        <v>936</v>
      </c>
      <c r="B301" s="1091" t="s">
        <v>596</v>
      </c>
      <c r="C301" s="1091">
        <v>135894</v>
      </c>
      <c r="D301" s="1091">
        <v>9361128</v>
      </c>
      <c r="E301" s="1091">
        <v>1128</v>
      </c>
      <c r="F301" s="1091" t="s">
        <v>603</v>
      </c>
      <c r="G301" s="1091">
        <v>12</v>
      </c>
      <c r="H301" s="1092">
        <v>880737</v>
      </c>
      <c r="I301" s="1092">
        <v>29945.058000000001</v>
      </c>
      <c r="J301" s="1091"/>
      <c r="K301" s="1091" t="s">
        <v>182</v>
      </c>
      <c r="L301" s="1092"/>
      <c r="M301" s="1093"/>
      <c r="S301" s="1091"/>
    </row>
    <row r="302" spans="1:19">
      <c r="A302" s="1091">
        <v>936</v>
      </c>
      <c r="B302" s="1091" t="s">
        <v>596</v>
      </c>
      <c r="C302" s="1091">
        <v>134109</v>
      </c>
      <c r="D302" s="1091">
        <v>9361121</v>
      </c>
      <c r="E302" s="1091">
        <v>1121</v>
      </c>
      <c r="F302" s="1091" t="s">
        <v>604</v>
      </c>
      <c r="G302" s="1091">
        <v>12</v>
      </c>
      <c r="H302" s="1092">
        <v>218422</v>
      </c>
      <c r="I302" s="1092">
        <v>7426.3480000000009</v>
      </c>
      <c r="J302" s="1091"/>
      <c r="K302" s="1091" t="s">
        <v>182</v>
      </c>
      <c r="L302" s="1092"/>
      <c r="M302" s="1093"/>
      <c r="S302" s="1091"/>
    </row>
    <row r="303" spans="1:19">
      <c r="A303" s="1091">
        <v>936</v>
      </c>
      <c r="B303" s="1091" t="s">
        <v>596</v>
      </c>
      <c r="C303" s="1091">
        <v>124916</v>
      </c>
      <c r="D303" s="1091">
        <v>9361100</v>
      </c>
      <c r="E303" s="1091">
        <v>1100</v>
      </c>
      <c r="F303" s="1091" t="s">
        <v>597</v>
      </c>
      <c r="G303" s="1091">
        <v>5</v>
      </c>
      <c r="H303" s="1092" t="s">
        <v>245</v>
      </c>
      <c r="J303" s="1091"/>
      <c r="K303" s="1091" t="s">
        <v>182</v>
      </c>
      <c r="L303" s="1092"/>
      <c r="M303" s="1093"/>
      <c r="S303" s="1091"/>
    </row>
    <row r="304" spans="1:19">
      <c r="A304" s="1091">
        <v>936</v>
      </c>
      <c r="B304" s="1091" t="s">
        <v>596</v>
      </c>
      <c r="C304" s="1091">
        <v>148124</v>
      </c>
      <c r="D304" s="1091">
        <v>9361107</v>
      </c>
      <c r="E304" s="1091">
        <v>1107</v>
      </c>
      <c r="F304" s="1091" t="s">
        <v>601</v>
      </c>
      <c r="G304" s="1091">
        <v>12</v>
      </c>
      <c r="H304" s="1092">
        <v>923285</v>
      </c>
      <c r="I304" s="1092">
        <v>31391.690000000002</v>
      </c>
      <c r="J304" s="1091"/>
      <c r="K304" s="1091" t="s">
        <v>188</v>
      </c>
      <c r="L304" s="1092"/>
      <c r="M304" s="1093"/>
      <c r="S304" s="1091"/>
    </row>
    <row r="305" spans="1:19">
      <c r="A305" s="1091">
        <v>319</v>
      </c>
      <c r="B305" s="1091" t="s">
        <v>605</v>
      </c>
      <c r="C305" s="1091">
        <v>145704</v>
      </c>
      <c r="D305" s="1091">
        <v>3191100</v>
      </c>
      <c r="E305" s="1091">
        <v>1100</v>
      </c>
      <c r="F305" s="1091" t="s">
        <v>606</v>
      </c>
      <c r="G305" s="1091">
        <v>12</v>
      </c>
      <c r="H305" s="1092">
        <v>3653425</v>
      </c>
      <c r="I305" s="1092">
        <v>124216.45000000001</v>
      </c>
      <c r="J305" s="1091"/>
      <c r="K305" s="1091" t="s">
        <v>188</v>
      </c>
      <c r="L305" s="1092"/>
      <c r="M305" s="1093"/>
      <c r="S305" s="1091"/>
    </row>
    <row r="306" spans="1:19">
      <c r="A306" s="1091">
        <v>319</v>
      </c>
      <c r="B306" s="1091" t="s">
        <v>605</v>
      </c>
      <c r="C306" s="1091">
        <v>135010</v>
      </c>
      <c r="D306" s="1091">
        <v>3191102</v>
      </c>
      <c r="E306" s="1091">
        <v>1102</v>
      </c>
      <c r="F306" s="1091" t="s">
        <v>607</v>
      </c>
      <c r="G306" s="1091">
        <v>12</v>
      </c>
      <c r="H306" s="1092">
        <v>1529332</v>
      </c>
      <c r="I306" s="1092">
        <v>51997.288</v>
      </c>
      <c r="J306" s="1091"/>
      <c r="K306" s="1091" t="s">
        <v>182</v>
      </c>
      <c r="L306" s="1092"/>
      <c r="M306" s="1093"/>
      <c r="S306" s="1091"/>
    </row>
    <row r="307" spans="1:19">
      <c r="A307" s="1091">
        <v>866</v>
      </c>
      <c r="B307" s="1091" t="s">
        <v>608</v>
      </c>
      <c r="C307" s="1091">
        <v>126171</v>
      </c>
      <c r="D307" s="1091">
        <v>8661100</v>
      </c>
      <c r="E307" s="1091">
        <v>1100</v>
      </c>
      <c r="F307" s="1091" t="s">
        <v>609</v>
      </c>
      <c r="G307" s="1091">
        <v>12</v>
      </c>
      <c r="H307" s="1092">
        <v>2655873</v>
      </c>
      <c r="I307" s="1092">
        <v>90299.682000000001</v>
      </c>
      <c r="J307" s="1091"/>
      <c r="K307" s="1091" t="s">
        <v>182</v>
      </c>
      <c r="L307" s="1092"/>
      <c r="M307" s="1093"/>
      <c r="S307" s="1091"/>
    </row>
    <row r="308" spans="1:19">
      <c r="A308" s="1091">
        <v>357</v>
      </c>
      <c r="B308" s="1091" t="s">
        <v>610</v>
      </c>
      <c r="C308" s="1091">
        <v>137322</v>
      </c>
      <c r="D308" s="1091">
        <v>3571103</v>
      </c>
      <c r="E308" s="1091">
        <v>1103</v>
      </c>
      <c r="F308" s="1091" t="s">
        <v>611</v>
      </c>
      <c r="G308" s="1091">
        <v>12</v>
      </c>
      <c r="H308" s="1092">
        <v>2732263</v>
      </c>
      <c r="I308" s="1092">
        <v>92896.94200000001</v>
      </c>
      <c r="J308" s="1091"/>
      <c r="K308" s="1091" t="s">
        <v>182</v>
      </c>
      <c r="L308" s="1092"/>
      <c r="M308" s="1093"/>
      <c r="S308" s="1091"/>
    </row>
    <row r="309" spans="1:19">
      <c r="A309" s="1091">
        <v>894</v>
      </c>
      <c r="B309" s="1091" t="s">
        <v>612</v>
      </c>
      <c r="C309" s="1091">
        <v>142085</v>
      </c>
      <c r="D309" s="1091">
        <v>8941107</v>
      </c>
      <c r="E309" s="1091">
        <v>1107</v>
      </c>
      <c r="F309" s="1091" t="s">
        <v>613</v>
      </c>
      <c r="G309" s="1091">
        <v>12</v>
      </c>
      <c r="H309" s="1092">
        <v>564377.5</v>
      </c>
      <c r="I309" s="1092">
        <v>19188.835000000003</v>
      </c>
      <c r="J309" s="1091"/>
      <c r="K309" s="1091" t="s">
        <v>188</v>
      </c>
      <c r="L309" s="1092"/>
      <c r="M309" s="1093"/>
      <c r="S309" s="1091"/>
    </row>
    <row r="310" spans="1:19">
      <c r="A310" s="1091">
        <v>894</v>
      </c>
      <c r="B310" s="1091" t="s">
        <v>612</v>
      </c>
      <c r="C310" s="1091">
        <v>123349</v>
      </c>
      <c r="D310" s="1091">
        <v>8941100</v>
      </c>
      <c r="E310" s="1091">
        <v>1100</v>
      </c>
      <c r="F310" s="1091" t="s">
        <v>614</v>
      </c>
      <c r="G310" s="1091">
        <v>12</v>
      </c>
      <c r="H310" s="1092">
        <v>1178953</v>
      </c>
      <c r="I310" s="1092">
        <v>40084.402000000002</v>
      </c>
      <c r="J310" s="1091"/>
      <c r="K310" s="1091" t="s">
        <v>182</v>
      </c>
      <c r="L310" s="1092"/>
      <c r="M310" s="1093"/>
      <c r="S310" s="1091"/>
    </row>
    <row r="311" spans="1:19">
      <c r="A311" s="1091">
        <v>883</v>
      </c>
      <c r="B311" s="1091" t="s">
        <v>615</v>
      </c>
      <c r="C311" s="1091">
        <v>140861</v>
      </c>
      <c r="D311" s="1091">
        <v>8831100</v>
      </c>
      <c r="E311" s="1091">
        <v>1100</v>
      </c>
      <c r="F311" s="1091" t="s">
        <v>616</v>
      </c>
      <c r="G311" s="1091">
        <v>12</v>
      </c>
      <c r="H311" s="1092">
        <v>2228845</v>
      </c>
      <c r="I311" s="1092">
        <v>75780.73000000001</v>
      </c>
      <c r="J311" s="1091"/>
      <c r="K311" s="1091" t="s">
        <v>188</v>
      </c>
      <c r="L311" s="1092"/>
      <c r="M311" s="1093"/>
      <c r="S311" s="1091"/>
    </row>
    <row r="312" spans="1:19">
      <c r="A312" s="1091">
        <v>880</v>
      </c>
      <c r="B312" s="1091" t="s">
        <v>617</v>
      </c>
      <c r="C312" s="1091">
        <v>144031</v>
      </c>
      <c r="D312" s="1091">
        <v>8801100</v>
      </c>
      <c r="E312" s="1091">
        <v>1100</v>
      </c>
      <c r="F312" s="1091" t="s">
        <v>618</v>
      </c>
      <c r="G312" s="1091">
        <v>12</v>
      </c>
      <c r="H312" s="1092">
        <v>519485</v>
      </c>
      <c r="I312" s="1092">
        <v>17662.490000000002</v>
      </c>
      <c r="J312" s="1091"/>
      <c r="K312" s="1091" t="s">
        <v>188</v>
      </c>
      <c r="L312" s="1092"/>
      <c r="M312" s="1093"/>
      <c r="S312" s="1091"/>
    </row>
    <row r="313" spans="1:19">
      <c r="A313" s="1091">
        <v>211</v>
      </c>
      <c r="B313" s="1091" t="s">
        <v>619</v>
      </c>
      <c r="C313" s="1091">
        <v>138262</v>
      </c>
      <c r="D313" s="1091">
        <v>2111101</v>
      </c>
      <c r="E313" s="1091">
        <v>1101</v>
      </c>
      <c r="F313" s="1091" t="s">
        <v>620</v>
      </c>
      <c r="G313" s="1091">
        <v>12</v>
      </c>
      <c r="H313" s="1092" t="s">
        <v>516</v>
      </c>
      <c r="J313" s="1091"/>
      <c r="K313" s="1091" t="s">
        <v>188</v>
      </c>
      <c r="L313" s="1092"/>
      <c r="M313" s="1093"/>
      <c r="S313" s="1091"/>
    </row>
    <row r="314" spans="1:19">
      <c r="A314" s="1091">
        <v>211</v>
      </c>
      <c r="B314" s="1091" t="s">
        <v>619</v>
      </c>
      <c r="C314" s="1091">
        <v>100889</v>
      </c>
      <c r="D314" s="1091">
        <v>2111100</v>
      </c>
      <c r="E314" s="1091">
        <v>1100</v>
      </c>
      <c r="F314" s="1091" t="s">
        <v>621</v>
      </c>
      <c r="G314" s="1091">
        <v>12</v>
      </c>
      <c r="H314" s="1092">
        <v>5678625</v>
      </c>
      <c r="I314" s="1092">
        <v>193073.25</v>
      </c>
      <c r="J314" s="1091"/>
      <c r="K314" s="1091" t="s">
        <v>182</v>
      </c>
      <c r="L314" s="1092"/>
      <c r="M314" s="1093"/>
      <c r="S314" s="1091"/>
    </row>
    <row r="315" spans="1:19">
      <c r="A315" s="1091">
        <v>358</v>
      </c>
      <c r="B315" s="1091" t="s">
        <v>622</v>
      </c>
      <c r="C315" s="1091">
        <v>131134</v>
      </c>
      <c r="D315" s="1091">
        <v>3581103</v>
      </c>
      <c r="E315" s="1091">
        <v>1103</v>
      </c>
      <c r="F315" s="1091" t="s">
        <v>623</v>
      </c>
      <c r="G315" s="1091">
        <v>12</v>
      </c>
      <c r="H315" s="1092">
        <v>1221980</v>
      </c>
      <c r="I315" s="1092">
        <v>41547.32</v>
      </c>
      <c r="J315" s="1091"/>
      <c r="K315" s="1091" t="s">
        <v>182</v>
      </c>
      <c r="L315" s="1092"/>
      <c r="M315" s="1093"/>
      <c r="S315" s="1091"/>
    </row>
    <row r="316" spans="1:19">
      <c r="A316" s="1091">
        <v>384</v>
      </c>
      <c r="B316" s="1091" t="s">
        <v>624</v>
      </c>
      <c r="C316" s="1091">
        <v>148771</v>
      </c>
      <c r="D316" s="1091">
        <v>3841103</v>
      </c>
      <c r="E316" s="1091">
        <v>1103</v>
      </c>
      <c r="F316" s="1091" t="s">
        <v>625</v>
      </c>
      <c r="G316" s="1091">
        <v>12</v>
      </c>
      <c r="H316" s="1092">
        <v>1697257.5</v>
      </c>
      <c r="I316" s="1092">
        <v>57706.755000000005</v>
      </c>
      <c r="J316" s="1091"/>
      <c r="K316" s="1091" t="s">
        <v>188</v>
      </c>
      <c r="L316" s="1092"/>
      <c r="M316" s="1093"/>
      <c r="S316" s="1091"/>
    </row>
    <row r="317" spans="1:19">
      <c r="A317" s="1091">
        <v>384</v>
      </c>
      <c r="B317" s="1091" t="s">
        <v>624</v>
      </c>
      <c r="C317" s="1091">
        <v>130981</v>
      </c>
      <c r="D317" s="1091">
        <v>3841101</v>
      </c>
      <c r="E317" s="1091">
        <v>1101</v>
      </c>
      <c r="F317" s="1091" t="s">
        <v>626</v>
      </c>
      <c r="G317" s="1091">
        <v>5</v>
      </c>
      <c r="H317" s="1092" t="s">
        <v>245</v>
      </c>
      <c r="J317" s="1091"/>
      <c r="K317" s="1091" t="s">
        <v>182</v>
      </c>
      <c r="L317" s="1092"/>
      <c r="M317" s="1093"/>
      <c r="S317" s="1091"/>
    </row>
    <row r="318" spans="1:19">
      <c r="A318" s="1091">
        <v>384</v>
      </c>
      <c r="B318" s="1091" t="s">
        <v>624</v>
      </c>
      <c r="C318" s="1091">
        <v>139560</v>
      </c>
      <c r="D318" s="1091">
        <v>3841102</v>
      </c>
      <c r="E318" s="1091">
        <v>1102</v>
      </c>
      <c r="F318" s="1091" t="s">
        <v>627</v>
      </c>
      <c r="G318" s="1091">
        <v>12</v>
      </c>
      <c r="H318" s="1092">
        <v>1814864</v>
      </c>
      <c r="I318" s="1092">
        <v>61705.376000000004</v>
      </c>
      <c r="J318" s="1091"/>
      <c r="K318" s="1091" t="s">
        <v>182</v>
      </c>
      <c r="L318" s="1092"/>
      <c r="M318" s="1093"/>
      <c r="S318" s="1091"/>
    </row>
    <row r="319" spans="1:19">
      <c r="A319" s="1091">
        <v>384</v>
      </c>
      <c r="B319" s="1091" t="s">
        <v>624</v>
      </c>
      <c r="C319" s="1091">
        <v>108139</v>
      </c>
      <c r="D319" s="1091">
        <v>3841100</v>
      </c>
      <c r="E319" s="1091">
        <v>1100</v>
      </c>
      <c r="F319" s="1091" t="s">
        <v>628</v>
      </c>
      <c r="G319" s="1091">
        <v>12</v>
      </c>
      <c r="H319" s="1092">
        <v>2468717</v>
      </c>
      <c r="I319" s="1092">
        <v>83936.378000000012</v>
      </c>
      <c r="J319" s="1091"/>
      <c r="K319" s="1091" t="s">
        <v>182</v>
      </c>
      <c r="L319" s="1092"/>
      <c r="M319" s="1093"/>
      <c r="S319" s="1091"/>
    </row>
    <row r="320" spans="1:19">
      <c r="A320" s="1091">
        <v>335</v>
      </c>
      <c r="B320" s="1091" t="s">
        <v>629</v>
      </c>
      <c r="C320" s="1091">
        <v>143750</v>
      </c>
      <c r="D320" s="1091">
        <v>3351105</v>
      </c>
      <c r="E320" s="1091">
        <v>1105</v>
      </c>
      <c r="F320" s="1091" t="s">
        <v>630</v>
      </c>
      <c r="G320" s="1091">
        <v>12</v>
      </c>
      <c r="H320" s="1092">
        <v>995045</v>
      </c>
      <c r="I320" s="1092">
        <v>33831.53</v>
      </c>
      <c r="J320" s="1091"/>
      <c r="K320" s="1091" t="s">
        <v>188</v>
      </c>
      <c r="L320" s="1092"/>
      <c r="M320" s="1093"/>
      <c r="S320" s="1091"/>
    </row>
    <row r="321" spans="1:19">
      <c r="A321" s="1091">
        <v>335</v>
      </c>
      <c r="B321" s="1091" t="s">
        <v>629</v>
      </c>
      <c r="C321" s="1091">
        <v>134523</v>
      </c>
      <c r="D321" s="1091">
        <v>3351104</v>
      </c>
      <c r="E321" s="1091">
        <v>1104</v>
      </c>
      <c r="F321" s="1091" t="s">
        <v>631</v>
      </c>
      <c r="G321" s="1091">
        <v>12</v>
      </c>
      <c r="H321" s="1092">
        <v>867590</v>
      </c>
      <c r="I321" s="1092">
        <v>29498.06</v>
      </c>
      <c r="J321" s="1091"/>
      <c r="K321" s="1091" t="s">
        <v>182</v>
      </c>
      <c r="L321" s="1092"/>
      <c r="M321" s="1093"/>
      <c r="S321" s="1091"/>
    </row>
    <row r="322" spans="1:19">
      <c r="A322" s="1091">
        <v>335</v>
      </c>
      <c r="B322" s="1091" t="s">
        <v>629</v>
      </c>
      <c r="C322" s="1091">
        <v>131619</v>
      </c>
      <c r="D322" s="1091">
        <v>3351101</v>
      </c>
      <c r="E322" s="1091">
        <v>1101</v>
      </c>
      <c r="F322" s="1091" t="s">
        <v>632</v>
      </c>
      <c r="G322" s="1091">
        <v>12</v>
      </c>
      <c r="H322" s="1092">
        <v>1131369</v>
      </c>
      <c r="I322" s="1092">
        <v>38466.546000000002</v>
      </c>
      <c r="J322" s="1091"/>
      <c r="K322" s="1091" t="s">
        <v>182</v>
      </c>
      <c r="L322" s="1092"/>
      <c r="M322" s="1093"/>
      <c r="S322" s="1091"/>
    </row>
    <row r="323" spans="1:19">
      <c r="A323" s="1091">
        <v>320</v>
      </c>
      <c r="B323" s="1091" t="s">
        <v>633</v>
      </c>
      <c r="C323" s="1091">
        <v>137677</v>
      </c>
      <c r="D323" s="1091">
        <v>3201109</v>
      </c>
      <c r="E323" s="1091">
        <v>1109</v>
      </c>
      <c r="F323" s="1091" t="s">
        <v>634</v>
      </c>
      <c r="G323" s="1091">
        <v>12</v>
      </c>
      <c r="H323" s="1092">
        <v>1265499</v>
      </c>
      <c r="I323" s="1092">
        <v>43026.966</v>
      </c>
      <c r="J323" s="1091" t="s">
        <v>378</v>
      </c>
      <c r="K323" s="1091" t="s">
        <v>182</v>
      </c>
      <c r="L323" s="1092"/>
      <c r="M323" s="1093"/>
      <c r="S323" s="1091"/>
    </row>
    <row r="324" spans="1:19">
      <c r="A324" s="1091">
        <v>320</v>
      </c>
      <c r="B324" s="1091" t="s">
        <v>633</v>
      </c>
      <c r="C324" s="1091">
        <v>135558</v>
      </c>
      <c r="D324" s="1091">
        <v>3201105</v>
      </c>
      <c r="E324" s="1091">
        <v>1105</v>
      </c>
      <c r="F324" s="1091" t="s">
        <v>635</v>
      </c>
      <c r="G324" s="1091">
        <v>12</v>
      </c>
      <c r="H324" s="1092">
        <v>0</v>
      </c>
      <c r="J324" s="1091" t="s">
        <v>380</v>
      </c>
      <c r="K324" s="1091" t="s">
        <v>182</v>
      </c>
      <c r="L324" s="1092"/>
      <c r="M324" s="1093"/>
      <c r="S324" s="1091"/>
    </row>
    <row r="325" spans="1:19">
      <c r="A325" s="1091">
        <v>320</v>
      </c>
      <c r="B325" s="1091" t="s">
        <v>633</v>
      </c>
      <c r="C325" s="1091">
        <v>137328</v>
      </c>
      <c r="D325" s="1091">
        <v>3201107</v>
      </c>
      <c r="E325" s="1091">
        <v>1107</v>
      </c>
      <c r="F325" s="1091" t="s">
        <v>636</v>
      </c>
      <c r="G325" s="1091">
        <v>12</v>
      </c>
      <c r="H325" s="1092">
        <v>0</v>
      </c>
      <c r="J325" s="1091" t="s">
        <v>380</v>
      </c>
      <c r="K325" s="1091" t="s">
        <v>182</v>
      </c>
      <c r="L325" s="1092"/>
      <c r="M325" s="1093"/>
      <c r="S325" s="1091"/>
    </row>
    <row r="326" spans="1:19">
      <c r="A326" s="1091">
        <v>212</v>
      </c>
      <c r="B326" s="1091" t="s">
        <v>637</v>
      </c>
      <c r="C326" s="1091">
        <v>100994</v>
      </c>
      <c r="D326" s="1091">
        <v>2121101</v>
      </c>
      <c r="E326" s="1091">
        <v>1101</v>
      </c>
      <c r="F326" s="1091" t="s">
        <v>638</v>
      </c>
      <c r="G326" s="1091">
        <v>12</v>
      </c>
      <c r="H326" s="1092">
        <v>2600758</v>
      </c>
      <c r="I326" s="1092">
        <v>88425.772000000012</v>
      </c>
      <c r="J326" s="1091"/>
      <c r="K326" s="1091" t="s">
        <v>182</v>
      </c>
      <c r="L326" s="1092"/>
      <c r="M326" s="1093"/>
      <c r="S326" s="1091"/>
    </row>
    <row r="327" spans="1:19">
      <c r="A327" s="1091">
        <v>212</v>
      </c>
      <c r="B327" s="1091" t="s">
        <v>637</v>
      </c>
      <c r="C327" s="1091">
        <v>132077</v>
      </c>
      <c r="D327" s="1091">
        <v>2121102</v>
      </c>
      <c r="E327" s="1091">
        <v>1102</v>
      </c>
      <c r="F327" s="1091" t="s">
        <v>639</v>
      </c>
      <c r="G327" s="1091">
        <v>12</v>
      </c>
      <c r="H327" s="1092">
        <v>955897</v>
      </c>
      <c r="I327" s="1092">
        <v>32500.498000000003</v>
      </c>
      <c r="J327" s="1091"/>
      <c r="K327" s="1091" t="s">
        <v>182</v>
      </c>
      <c r="L327" s="1092"/>
      <c r="M327" s="1093"/>
      <c r="S327" s="1091"/>
    </row>
    <row r="328" spans="1:19">
      <c r="A328" s="1091">
        <v>212</v>
      </c>
      <c r="B328" s="1091" t="s">
        <v>637</v>
      </c>
      <c r="C328" s="1091">
        <v>108892</v>
      </c>
      <c r="D328" s="1091">
        <v>2121103</v>
      </c>
      <c r="E328" s="1091">
        <v>1103</v>
      </c>
      <c r="F328" s="1091" t="s">
        <v>640</v>
      </c>
      <c r="G328" s="1091">
        <v>12</v>
      </c>
      <c r="H328" s="1092">
        <v>1083454</v>
      </c>
      <c r="I328" s="1092">
        <v>36837.436000000002</v>
      </c>
      <c r="J328" s="1091"/>
      <c r="K328" s="1091" t="s">
        <v>182</v>
      </c>
      <c r="L328" s="1092"/>
      <c r="M328" s="1093"/>
      <c r="S328" s="1091"/>
    </row>
    <row r="329" spans="1:19">
      <c r="A329" s="1091">
        <v>877</v>
      </c>
      <c r="B329" s="1091" t="s">
        <v>641</v>
      </c>
      <c r="C329" s="1091">
        <v>144240</v>
      </c>
      <c r="D329" s="1091">
        <v>8771104</v>
      </c>
      <c r="E329" s="1091">
        <v>1104</v>
      </c>
      <c r="F329" s="1091" t="s">
        <v>642</v>
      </c>
      <c r="G329" s="1091">
        <v>12</v>
      </c>
      <c r="H329" s="1092">
        <v>1273045</v>
      </c>
      <c r="I329" s="1092">
        <v>43283.530000000006</v>
      </c>
      <c r="J329" s="1091"/>
      <c r="K329" s="1091" t="s">
        <v>188</v>
      </c>
      <c r="L329" s="1092"/>
      <c r="M329" s="1093"/>
      <c r="S329" s="1091"/>
    </row>
    <row r="330" spans="1:19">
      <c r="A330" s="1091">
        <v>869</v>
      </c>
      <c r="B330" s="1091" t="s">
        <v>643</v>
      </c>
      <c r="C330" s="1091">
        <v>131066</v>
      </c>
      <c r="D330" s="1091">
        <v>8691111</v>
      </c>
      <c r="E330" s="1091">
        <v>1111</v>
      </c>
      <c r="F330" s="1091" t="s">
        <v>644</v>
      </c>
      <c r="G330" s="1091">
        <v>12</v>
      </c>
      <c r="H330" s="1092">
        <v>2719764</v>
      </c>
      <c r="I330" s="1092">
        <v>92471.97600000001</v>
      </c>
      <c r="J330" s="1091"/>
      <c r="K330" s="1091" t="s">
        <v>182</v>
      </c>
      <c r="L330" s="1092"/>
      <c r="M330" s="1093"/>
      <c r="S330" s="1091"/>
    </row>
    <row r="331" spans="1:19">
      <c r="A331" s="1091">
        <v>941</v>
      </c>
      <c r="B331" s="1091" t="s">
        <v>645</v>
      </c>
      <c r="C331" s="1091">
        <v>144685</v>
      </c>
      <c r="D331" s="1091">
        <v>9411105</v>
      </c>
      <c r="E331" s="1091">
        <v>1105</v>
      </c>
      <c r="F331" s="1091" t="s">
        <v>646</v>
      </c>
      <c r="G331" s="1091">
        <v>12</v>
      </c>
      <c r="H331" s="1092">
        <v>1942000</v>
      </c>
      <c r="I331" s="1092">
        <v>66028</v>
      </c>
      <c r="J331" s="1091"/>
      <c r="K331" s="1091" t="s">
        <v>188</v>
      </c>
      <c r="L331" s="1092"/>
      <c r="M331" s="1093"/>
      <c r="S331" s="1091"/>
    </row>
    <row r="332" spans="1:19">
      <c r="A332" s="1091">
        <v>941</v>
      </c>
      <c r="B332" s="1091" t="s">
        <v>645</v>
      </c>
      <c r="C332" s="1091">
        <v>142926</v>
      </c>
      <c r="D332" s="1091">
        <v>9411108</v>
      </c>
      <c r="E332" s="1091">
        <v>1108</v>
      </c>
      <c r="F332" s="1091" t="s">
        <v>647</v>
      </c>
      <c r="G332" s="1091">
        <v>12</v>
      </c>
      <c r="H332" s="1092">
        <v>1142465</v>
      </c>
      <c r="I332" s="1092">
        <v>38843.810000000005</v>
      </c>
      <c r="J332" s="1091"/>
      <c r="K332" s="1091" t="s">
        <v>188</v>
      </c>
      <c r="L332" s="1092"/>
      <c r="M332" s="1093"/>
      <c r="S332" s="1091"/>
    </row>
    <row r="333" spans="1:19">
      <c r="A333" s="1091">
        <v>941</v>
      </c>
      <c r="B333" s="1091" t="s">
        <v>645</v>
      </c>
      <c r="C333" s="1091">
        <v>138967</v>
      </c>
      <c r="D333" s="1091">
        <v>9411100</v>
      </c>
      <c r="E333" s="1091">
        <v>1100</v>
      </c>
      <c r="F333" s="1091" t="s">
        <v>648</v>
      </c>
      <c r="G333" s="1091">
        <v>11</v>
      </c>
      <c r="H333" s="1092">
        <v>2825230</v>
      </c>
      <c r="I333" s="1092">
        <v>96057.82</v>
      </c>
      <c r="J333" s="1091"/>
      <c r="K333" s="1091" t="s">
        <v>188</v>
      </c>
      <c r="L333" s="1092"/>
      <c r="M333" s="1093"/>
      <c r="S333" s="1091"/>
    </row>
    <row r="334" spans="1:19">
      <c r="A334" s="1091">
        <v>938</v>
      </c>
      <c r="B334" s="1091" t="s">
        <v>649</v>
      </c>
      <c r="C334" s="1091">
        <v>131182</v>
      </c>
      <c r="D334" s="1091">
        <v>9381110</v>
      </c>
      <c r="E334" s="1091">
        <v>1110</v>
      </c>
      <c r="F334" s="1091" t="s">
        <v>650</v>
      </c>
      <c r="G334" s="1091">
        <v>12</v>
      </c>
      <c r="H334" s="1092">
        <v>6552439</v>
      </c>
      <c r="I334" s="1092">
        <v>222782.92600000001</v>
      </c>
      <c r="J334" s="1091"/>
      <c r="K334" s="1091" t="s">
        <v>182</v>
      </c>
      <c r="L334" s="1092"/>
      <c r="M334" s="1093"/>
      <c r="S334" s="1091"/>
    </row>
    <row r="335" spans="1:19">
      <c r="A335" s="1091">
        <v>213</v>
      </c>
      <c r="B335" s="1091" t="s">
        <v>651</v>
      </c>
      <c r="C335" s="1091">
        <v>140806</v>
      </c>
      <c r="D335" s="1091">
        <v>2131101</v>
      </c>
      <c r="E335" s="1091">
        <v>1101</v>
      </c>
      <c r="F335" s="1091" t="s">
        <v>652</v>
      </c>
      <c r="G335" s="1091">
        <v>12</v>
      </c>
      <c r="H335" s="1092">
        <v>1521970</v>
      </c>
      <c r="I335" s="1092">
        <v>51746.98</v>
      </c>
      <c r="J335" s="1091"/>
      <c r="K335" s="1091" t="s">
        <v>188</v>
      </c>
      <c r="L335" s="1092"/>
      <c r="M335" s="1093"/>
      <c r="S335" s="1091"/>
    </row>
    <row r="336" spans="1:19">
      <c r="A336" s="1091">
        <v>359</v>
      </c>
      <c r="B336" s="1091" t="s">
        <v>653</v>
      </c>
      <c r="C336" s="1091">
        <v>140627</v>
      </c>
      <c r="D336" s="1091">
        <v>3591108</v>
      </c>
      <c r="E336" s="1091">
        <v>1108</v>
      </c>
      <c r="F336" s="1091" t="s">
        <v>654</v>
      </c>
      <c r="G336" s="1091">
        <v>12</v>
      </c>
      <c r="H336" s="1092">
        <v>2066312.5</v>
      </c>
      <c r="I336" s="1092">
        <v>70254.625</v>
      </c>
      <c r="J336" s="1091"/>
      <c r="K336" s="1091" t="s">
        <v>188</v>
      </c>
      <c r="L336" s="1092"/>
      <c r="M336" s="1093"/>
      <c r="S336" s="1091"/>
    </row>
    <row r="337" spans="1:19">
      <c r="A337" s="1091">
        <v>872</v>
      </c>
      <c r="B337" s="1091" t="s">
        <v>655</v>
      </c>
      <c r="C337" s="1091">
        <v>101493</v>
      </c>
      <c r="D337" s="1091">
        <v>8721108</v>
      </c>
      <c r="E337" s="1091">
        <v>1108</v>
      </c>
      <c r="F337" s="1091" t="s">
        <v>656</v>
      </c>
      <c r="G337" s="1091">
        <v>12</v>
      </c>
      <c r="H337" s="1092">
        <v>1316984</v>
      </c>
      <c r="I337" s="1092">
        <v>44777.456000000006</v>
      </c>
      <c r="J337" s="1091"/>
      <c r="K337" s="1091" t="s">
        <v>182</v>
      </c>
      <c r="L337" s="1092"/>
      <c r="M337" s="1093"/>
      <c r="S337" s="1091"/>
    </row>
    <row r="338" spans="1:19">
      <c r="A338" s="1091">
        <v>872</v>
      </c>
      <c r="B338" s="1091" t="s">
        <v>655</v>
      </c>
      <c r="C338" s="1091">
        <v>128088</v>
      </c>
      <c r="D338" s="1091">
        <v>8721109</v>
      </c>
      <c r="E338" s="1091">
        <v>1109</v>
      </c>
      <c r="F338" s="1091" t="s">
        <v>657</v>
      </c>
      <c r="G338" s="1091">
        <v>12</v>
      </c>
      <c r="H338" s="1092">
        <v>206102</v>
      </c>
      <c r="I338" s="1092">
        <v>7007.4680000000008</v>
      </c>
      <c r="J338" s="1091"/>
      <c r="K338" s="1091" t="s">
        <v>182</v>
      </c>
      <c r="L338" s="1092"/>
      <c r="M338" s="1093"/>
      <c r="S338" s="1091"/>
    </row>
    <row r="339" spans="1:19">
      <c r="A339" s="1091">
        <v>336</v>
      </c>
      <c r="B339" s="1091" t="s">
        <v>658</v>
      </c>
      <c r="C339" s="1091">
        <v>143150</v>
      </c>
      <c r="D339" s="1091">
        <v>3361105</v>
      </c>
      <c r="E339" s="1091">
        <v>1105</v>
      </c>
      <c r="F339" s="1091" t="s">
        <v>659</v>
      </c>
      <c r="G339" s="1091">
        <v>12</v>
      </c>
      <c r="H339" s="1092">
        <v>722205</v>
      </c>
      <c r="I339" s="1092">
        <v>24554.97</v>
      </c>
      <c r="J339" s="1091"/>
      <c r="K339" s="1091" t="s">
        <v>188</v>
      </c>
      <c r="L339" s="1092"/>
      <c r="M339" s="1093"/>
      <c r="S339" s="1091"/>
    </row>
    <row r="340" spans="1:19">
      <c r="A340" s="1091">
        <v>336</v>
      </c>
      <c r="B340" s="1091" t="s">
        <v>658</v>
      </c>
      <c r="C340" s="1091">
        <v>104288</v>
      </c>
      <c r="D340" s="1091">
        <v>3361102</v>
      </c>
      <c r="E340" s="1091">
        <v>1102</v>
      </c>
      <c r="F340" s="1091" t="s">
        <v>660</v>
      </c>
      <c r="G340" s="1091">
        <v>12</v>
      </c>
      <c r="H340" s="1092">
        <v>2738493</v>
      </c>
      <c r="I340" s="1092">
        <v>93108.762000000002</v>
      </c>
      <c r="J340" s="1091"/>
      <c r="K340" s="1091" t="s">
        <v>182</v>
      </c>
      <c r="L340" s="1092"/>
      <c r="M340" s="1093"/>
      <c r="S340" s="1091"/>
    </row>
    <row r="341" spans="1:19">
      <c r="A341" s="1091">
        <v>336</v>
      </c>
      <c r="B341" s="1091" t="s">
        <v>658</v>
      </c>
      <c r="C341" s="1091">
        <v>134256</v>
      </c>
      <c r="D341" s="1091">
        <v>3361103</v>
      </c>
      <c r="E341" s="1091">
        <v>1103</v>
      </c>
      <c r="F341" s="1091" t="s">
        <v>661</v>
      </c>
      <c r="G341" s="1091">
        <v>12</v>
      </c>
      <c r="H341" s="1092">
        <v>1618424</v>
      </c>
      <c r="I341" s="1092">
        <v>55026.416000000005</v>
      </c>
      <c r="J341" s="1091"/>
      <c r="K341" s="1091" t="s">
        <v>182</v>
      </c>
      <c r="L341" s="1092"/>
      <c r="M341" s="1093"/>
      <c r="S341" s="1091"/>
    </row>
    <row r="342" spans="1:19">
      <c r="A342" s="1091">
        <v>336</v>
      </c>
      <c r="B342" s="1091" t="s">
        <v>658</v>
      </c>
      <c r="C342" s="1091">
        <v>134257</v>
      </c>
      <c r="D342" s="1091">
        <v>3361104</v>
      </c>
      <c r="E342" s="1091">
        <v>1104</v>
      </c>
      <c r="F342" s="1091" t="s">
        <v>662</v>
      </c>
      <c r="G342" s="1091">
        <v>12</v>
      </c>
      <c r="H342" s="1092">
        <v>1051516</v>
      </c>
      <c r="I342" s="1092">
        <v>35751.544000000002</v>
      </c>
      <c r="J342" s="1091"/>
      <c r="K342" s="1091" t="s">
        <v>182</v>
      </c>
      <c r="L342" s="1092"/>
      <c r="M342" s="1093"/>
      <c r="S342" s="1091"/>
    </row>
    <row r="343" spans="1:19">
      <c r="A343" s="1091">
        <v>885</v>
      </c>
      <c r="B343" s="1091" t="s">
        <v>663</v>
      </c>
      <c r="C343" s="1091">
        <v>139648</v>
      </c>
      <c r="D343" s="1091">
        <v>8851108</v>
      </c>
      <c r="E343" s="1091">
        <v>1108</v>
      </c>
      <c r="F343" s="1091" t="s">
        <v>664</v>
      </c>
      <c r="G343" s="1091">
        <v>12</v>
      </c>
      <c r="H343" s="1092">
        <v>1861422.5</v>
      </c>
      <c r="I343" s="1092">
        <v>63288.365000000005</v>
      </c>
      <c r="J343" s="1091"/>
      <c r="K343" s="1091" t="s">
        <v>188</v>
      </c>
      <c r="L343" s="1092"/>
      <c r="M343" s="1093"/>
      <c r="S343" s="1091"/>
    </row>
    <row r="344" spans="1:19">
      <c r="A344" s="1091">
        <v>885</v>
      </c>
      <c r="B344" s="1091" t="s">
        <v>663</v>
      </c>
      <c r="C344" s="1091">
        <v>148348</v>
      </c>
      <c r="D344" s="1091">
        <v>8851115</v>
      </c>
      <c r="E344" s="1091">
        <v>1115</v>
      </c>
      <c r="F344" s="1091" t="s">
        <v>665</v>
      </c>
      <c r="G344" s="1091">
        <v>12</v>
      </c>
      <c r="H344" s="1092">
        <v>1291810</v>
      </c>
      <c r="I344" s="1092">
        <v>43921.54</v>
      </c>
      <c r="J344" s="1091"/>
      <c r="K344" s="1091" t="s">
        <v>188</v>
      </c>
      <c r="L344" s="1092"/>
      <c r="M344" s="1093"/>
    </row>
    <row r="345" spans="1:19">
      <c r="A345" s="1091">
        <v>885</v>
      </c>
      <c r="B345" s="1091" t="s">
        <v>663</v>
      </c>
      <c r="C345" s="1091">
        <v>141034</v>
      </c>
      <c r="D345" s="1091">
        <v>8851110</v>
      </c>
      <c r="E345" s="1091">
        <v>1110</v>
      </c>
      <c r="F345" s="1091" t="s">
        <v>666</v>
      </c>
      <c r="G345" s="1091">
        <v>12</v>
      </c>
      <c r="H345" s="1092">
        <v>1533090</v>
      </c>
      <c r="I345" s="1092">
        <v>52125.060000000005</v>
      </c>
      <c r="J345" s="1091"/>
      <c r="K345" s="1091" t="s">
        <v>188</v>
      </c>
      <c r="L345" s="1092"/>
      <c r="M345" s="1093"/>
    </row>
    <row r="346" spans="1:19">
      <c r="A346" s="1091">
        <v>885</v>
      </c>
      <c r="B346" s="1091" t="s">
        <v>663</v>
      </c>
      <c r="C346" s="1091">
        <v>130984</v>
      </c>
      <c r="D346" s="1091">
        <v>8851103</v>
      </c>
      <c r="E346" s="1091">
        <v>1103</v>
      </c>
      <c r="F346" s="1091" t="s">
        <v>667</v>
      </c>
      <c r="G346" s="1091">
        <v>12</v>
      </c>
      <c r="H346" s="1092">
        <v>903020</v>
      </c>
      <c r="I346" s="1092">
        <v>30702.680000000004</v>
      </c>
      <c r="J346" s="1091"/>
      <c r="K346" s="1091" t="s">
        <v>182</v>
      </c>
      <c r="L346" s="1092"/>
      <c r="M346" s="1093"/>
    </row>
    <row r="347" spans="1:19">
      <c r="A347" s="1091">
        <v>885</v>
      </c>
      <c r="B347" s="1091" t="s">
        <v>663</v>
      </c>
      <c r="C347" s="1091">
        <v>136161</v>
      </c>
      <c r="D347" s="1091">
        <v>8851121</v>
      </c>
      <c r="E347" s="1091">
        <v>1121</v>
      </c>
      <c r="F347" s="1091" t="s">
        <v>668</v>
      </c>
      <c r="G347" s="1091">
        <v>12</v>
      </c>
      <c r="H347" s="1092">
        <v>880680</v>
      </c>
      <c r="I347" s="1092">
        <v>29943.120000000003</v>
      </c>
      <c r="J347" s="1091"/>
      <c r="K347" s="1091" t="s">
        <v>182</v>
      </c>
      <c r="L347" s="1092"/>
      <c r="M347" s="1093"/>
    </row>
    <row r="348" spans="1:19">
      <c r="A348" s="1091">
        <v>885</v>
      </c>
      <c r="B348" s="1091" t="s">
        <v>663</v>
      </c>
      <c r="C348" s="1091">
        <v>130987</v>
      </c>
      <c r="D348" s="1091">
        <v>8851105</v>
      </c>
      <c r="E348" s="1091">
        <v>1105</v>
      </c>
      <c r="F348" s="1091" t="s">
        <v>669</v>
      </c>
      <c r="G348" s="1091">
        <v>12</v>
      </c>
      <c r="H348" s="1092">
        <v>741200</v>
      </c>
      <c r="I348" s="1092">
        <v>25200.800000000003</v>
      </c>
      <c r="J348" s="1091"/>
      <c r="K348" s="1091" t="s">
        <v>182</v>
      </c>
      <c r="L348" s="1092"/>
      <c r="M348" s="1093"/>
    </row>
    <row r="349" spans="1:19">
      <c r="A349" s="1091">
        <v>816</v>
      </c>
      <c r="B349" s="1091" t="s">
        <v>670</v>
      </c>
      <c r="C349" s="1091">
        <v>121270</v>
      </c>
      <c r="D349" s="1091">
        <v>8161100</v>
      </c>
      <c r="E349" s="1091">
        <v>1100</v>
      </c>
      <c r="F349" s="1091" t="s">
        <v>671</v>
      </c>
      <c r="G349" s="1091">
        <v>12</v>
      </c>
      <c r="H349" s="1092">
        <v>4301747</v>
      </c>
      <c r="I349" s="1092">
        <v>146259.39800000002</v>
      </c>
      <c r="J349" s="1091"/>
      <c r="K349" s="1091" t="s">
        <v>182</v>
      </c>
      <c r="L349" s="1092"/>
      <c r="M349" s="1093"/>
    </row>
    <row r="350" spans="1:19">
      <c r="H350" s="1092"/>
    </row>
  </sheetData>
  <conditionalFormatting sqref="H2:H46 H48:H350 I137:I138 L337:L349 I338:I349">
    <cfRule type="cellIs" dxfId="5" priority="1" stopIfTrue="1" operator="less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15" ma:contentTypeDescription="Create a new document." ma:contentTypeScope="" ma:versionID="a38d04d0be6bb4973f160e3996a09faf">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b2239c5a7793a88c20d955e384ff6d8b"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c9effd-76e4-4e94-b9b6-2836c4bb60de" xsi:nil="true"/>
    <lcf76f155ced4ddcb4097134ff3c332f xmlns="47ecd482-cba3-4a15-8a36-0d066dd3291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59EC90-A0CF-43C7-A2F7-51D4E907C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44C8B6-7696-464D-92B6-8D72231A9180}">
  <ds:schemaRefs>
    <ds:schemaRef ds:uri="47ecd482-cba3-4a15-8a36-0d066dd3291d"/>
    <ds:schemaRef ds:uri="http://purl.org/dc/terms/"/>
    <ds:schemaRef ds:uri="http://purl.org/dc/elements/1.1/"/>
    <ds:schemaRef ds:uri="8dc9effd-76e4-4e94-b9b6-2836c4bb60d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5E0275E-C322-475F-8827-7472421A85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5</vt:i4>
      </vt:variant>
    </vt:vector>
  </HeadingPairs>
  <TitlesOfParts>
    <vt:vector size="35" baseType="lpstr">
      <vt:lpstr>Information</vt:lpstr>
      <vt:lpstr>Header</vt:lpstr>
      <vt:lpstr>Executive Summary</vt:lpstr>
      <vt:lpstr>Sheet1</vt:lpstr>
      <vt:lpstr>Workings</vt:lpstr>
      <vt:lpstr>Supporting Data</vt:lpstr>
      <vt:lpstr>Evidence</vt:lpstr>
      <vt:lpstr>AP Formula 202425</vt:lpstr>
      <vt:lpstr>2425 AAR</vt:lpstr>
      <vt:lpstr>AP Formula 202324</vt:lpstr>
      <vt:lpstr>2425 Band Values</vt:lpstr>
      <vt:lpstr>2324 Band Values</vt:lpstr>
      <vt:lpstr>Benchmarking</vt:lpstr>
      <vt:lpstr>Trust Financials</vt:lpstr>
      <vt:lpstr>AP Formula 202122</vt:lpstr>
      <vt:lpstr>Rates</vt:lpstr>
      <vt:lpstr>MoU</vt:lpstr>
      <vt:lpstr>WS - Delivery Model</vt:lpstr>
      <vt:lpstr>2425 TA Pay Scales</vt:lpstr>
      <vt:lpstr>GLEA 2324</vt:lpstr>
      <vt:lpstr>WS - Structure</vt:lpstr>
      <vt:lpstr>WS - Budget Forecast</vt:lpstr>
      <vt:lpstr>2122 Band Values</vt:lpstr>
      <vt:lpstr>2122 Teachers Pay Scales</vt:lpstr>
      <vt:lpstr>GLEA SCALE</vt:lpstr>
      <vt:lpstr>TEACHING ASSISTANT 2021-22</vt:lpstr>
      <vt:lpstr>TEACHING ASSNT 2021-22</vt:lpstr>
      <vt:lpstr>2122 TA Pay Scales</vt:lpstr>
      <vt:lpstr>Leadership Pay</vt:lpstr>
      <vt:lpstr>Special Funding Summary</vt:lpstr>
      <vt:lpstr>'AP Formula 202425'!Print_Area</vt:lpstr>
      <vt:lpstr>'GLEA SCALE'!Print_Area</vt:lpstr>
      <vt:lpstr>'Special Funding Summary'!Print_Area</vt:lpstr>
      <vt:lpstr>'TEACHING ASSISTANT 2021-22'!Print_Area</vt:lpstr>
      <vt:lpstr>'TEACHING ASSNT 2021-22'!Print_Area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2024-03-01T09:46:50Z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y fmtid="{D5CDD505-2E9C-101B-9397-08002B2CF9AE}" pid="3" name="MediaServiceImageTags">
    <vt:lpwstr/>
  </property>
</Properties>
</file>