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drawings/drawing4.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updateLinks="never" codeName="ThisWorkbook" defaultThemeVersion="124226"/>
  <mc:AlternateContent xmlns:mc="http://schemas.openxmlformats.org/markup-compatibility/2006">
    <mc:Choice Requires="x15">
      <x15ac:absPath xmlns:x15ac="http://schemas.microsoft.com/office/spreadsheetml/2010/11/ac" url="https://lincolnshirecc.sharepoint.com/sites/FinancialServices/Childrens/Children's Education/Head of Service SEND (Sheridan Dodsworth)/Sheridan Dodsworth/Special Schools/24-25 Special Schools/"/>
    </mc:Choice>
  </mc:AlternateContent>
  <xr:revisionPtr revIDLastSave="0" documentId="8_{371A028C-743B-4312-8968-CEB692603D78}" xr6:coauthVersionLast="47" xr6:coauthVersionMax="47" xr10:uidLastSave="{00000000-0000-0000-0000-000000000000}"/>
  <workbookProtection workbookAlgorithmName="SHA-512" workbookHashValue="rhGm+HKmu+6XYwtfXUVRdhkp0q2APRAoBs4BYd8ulWjKy60wvyyISW34Wn+ypOV+9GiDiNA3DoR4Uc8XYLOqnw==" workbookSaltValue="frXARMKRl3xfiqdnOpSiNQ==" workbookSpinCount="100000" lockStructure="1"/>
  <bookViews>
    <workbookView xWindow="-28920" yWindow="-1740" windowWidth="29040" windowHeight="17640" tabRatio="832" xr2:uid="{00000000-000D-0000-FFFF-FFFF00000000}"/>
  </bookViews>
  <sheets>
    <sheet name="Front Sheet - Please Read First" sheetId="63" r:id="rId1"/>
    <sheet name="ISB Weightings" sheetId="65" r:id="rId2"/>
    <sheet name="Budget Shares" sheetId="58" r:id="rId3"/>
    <sheet name="Funding Summary" sheetId="90" r:id="rId4"/>
    <sheet name="Local Protection" sheetId="119" r:id="rId5"/>
    <sheet name="MFG DfE Protection" sheetId="160" r:id="rId6"/>
    <sheet name="2425 0% MFG Calculation" sheetId="175" state="hidden" r:id="rId7"/>
    <sheet name="2324 Budget Requirement" sheetId="151" state="hidden" r:id="rId8"/>
    <sheet name="2425 Budget Requirement" sheetId="161" state="hidden" r:id="rId9"/>
    <sheet name="2223 Funding Detail" sheetId="120" state="hidden" r:id="rId10"/>
    <sheet name="2324 Funding Detail" sheetId="148" state="hidden" r:id="rId11"/>
    <sheet name="2425 Funding Detail" sheetId="162" state="hidden" r:id="rId12"/>
    <sheet name="2223 MFG Protection" sheetId="137" state="hidden" r:id="rId13"/>
    <sheet name="2324 MFG Protection" sheetId="155" state="hidden" r:id="rId14"/>
    <sheet name="2324 MFG Protection (2)" sheetId="176" state="hidden" r:id="rId15"/>
    <sheet name="2425 MFG Protection" sheetId="163" state="hidden" r:id="rId16"/>
    <sheet name="2324 3.4% Allocations" sheetId="158" state="hidden" r:id="rId17"/>
    <sheet name="School Size Ranges (2223)" sheetId="156" state="hidden" r:id="rId18"/>
    <sheet name="2425 3.4% Allocations" sheetId="164" state="hidden" r:id="rId19"/>
    <sheet name="2324 School Size Ranges" sheetId="142" state="hidden" r:id="rId20"/>
    <sheet name="2223 Group Sizes" sheetId="141" state="hidden" r:id="rId21"/>
    <sheet name="2324 FSM Calculation" sheetId="157" state="hidden" r:id="rId22"/>
    <sheet name="2425 FSM Calculation" sheetId="166" state="hidden" r:id="rId23"/>
    <sheet name="2223 FSM Calculation" sheetId="143" state="hidden" r:id="rId24"/>
    <sheet name="2324 Other Funding" sheetId="144" state="hidden" r:id="rId25"/>
    <sheet name="2425 Other Funding" sheetId="167" state="hidden" r:id="rId26"/>
    <sheet name="2223 Band Values" sheetId="138" state="hidden" r:id="rId27"/>
    <sheet name="2324 Band Values" sheetId="150" state="hidden" r:id="rId28"/>
    <sheet name="2425 School Size Ranges" sheetId="165" state="hidden" r:id="rId29"/>
    <sheet name="2425 Band Values" sheetId="168" state="hidden" r:id="rId30"/>
    <sheet name="2223 Teachers Pay Scales" sheetId="140" state="hidden" r:id="rId31"/>
    <sheet name="2425 GLEA Pay Scale" sheetId="174" state="hidden" r:id="rId32"/>
    <sheet name="2324 Teacher's Pay Scales" sheetId="153" state="hidden" r:id="rId33"/>
    <sheet name="2425 Teacher's Pay Scales" sheetId="169" state="hidden" r:id="rId34"/>
    <sheet name="2223 TA Pay Scales" sheetId="139" state="hidden" r:id="rId35"/>
    <sheet name="2324 TA Pay Scales" sheetId="152" state="hidden" r:id="rId36"/>
    <sheet name="2425 TA Pay Scales" sheetId="170" state="hidden" r:id="rId37"/>
    <sheet name="2223 Band Calculations" sheetId="121" state="hidden" r:id="rId38"/>
    <sheet name="2324 Band Calculations" sheetId="149" state="hidden" r:id="rId39"/>
    <sheet name="2425 Band Calculations" sheetId="171" state="hidden" r:id="rId40"/>
    <sheet name="2223 Band Moderations" sheetId="145" state="hidden" r:id="rId41"/>
    <sheet name="2324 Band Moderations" sheetId="154" state="hidden" r:id="rId42"/>
    <sheet name="2425 Band Moderations" sheetId="172" state="hidden" r:id="rId43"/>
    <sheet name="2324 OLEA Placements" sheetId="147" state="hidden" r:id="rId44"/>
    <sheet name="2425 OLEA Placements" sheetId="173" state="hidden"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a">[1]Detailed_Output!$A$4:$U$230</definedName>
    <definedName name="AAHel">#REF!</definedName>
    <definedName name="ABSG">#REF!</definedName>
    <definedName name="Acad_months">[2]Academies!$B$29:$B$40</definedName>
    <definedName name="AST">#REF!</definedName>
    <definedName name="BasketNo">#REF!</definedName>
    <definedName name="BasketUoF_UnAdj">#REF!</definedName>
    <definedName name="DATA1">#REF!</definedName>
    <definedName name="DATA10">#REF!</definedName>
    <definedName name="DATA11">#REF!</definedName>
    <definedName name="DATA12">#REF!</definedName>
    <definedName name="DATA13">#REF!</definedName>
    <definedName name="DATA14">'[3]Staffing Est.'!#REF!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DLIST">#REF!</definedName>
    <definedName name="FSM_uc">#REF!</definedName>
    <definedName name="FSM_UC_FUTURE">#REF!</definedName>
    <definedName name="FTEall">[4]FTEall!$B$11:$S$160</definedName>
    <definedName name="gg">[5]Section52!#REF!</definedName>
    <definedName name="Gross_S52">#REF!</definedName>
    <definedName name="Indicator">[6]CodeSet!$A$1:$A$2</definedName>
    <definedName name="Indicator2">[6]CodeSet!$A$4:$A$6</definedName>
    <definedName name="LA_Choice">[7]Instructions!$E$20</definedName>
    <definedName name="LEA_Choice">[8]Instructions!$D$6</definedName>
    <definedName name="LEAcount">#REF!</definedName>
    <definedName name="LIG">[9]LIG!$A$5:$J$154</definedName>
    <definedName name="ListLAs">'[10]LACSEG All LAs'!$A$4:$A$153</definedName>
    <definedName name="Meals">#REF!</definedName>
    <definedName name="MealsHel">#REF!</definedName>
    <definedName name="Mealsold">[5]Section52!#REF!</definedName>
    <definedName name="Names_Lookup">'[7]Background data'!$A$6:$Q$155</definedName>
    <definedName name="OLE_LINK1" localSheetId="1">'ISB Weightings'!#REF!</definedName>
    <definedName name="OLE_LINK3" localSheetId="1">'ISB Weightings'!#REF!</definedName>
    <definedName name="OptionsHel">#REF!</definedName>
    <definedName name="p">#REF!</definedName>
    <definedName name="Phase_split">[9]all_asc!$A$12:$V$179</definedName>
    <definedName name="_xlnm.Print_Area" localSheetId="2">'Budget Shares'!$A$1:$H$116</definedName>
    <definedName name="_xlnm.Print_Area" localSheetId="0">'Front Sheet - Please Read First'!$A$1:$B$37</definedName>
    <definedName name="_xlnm.Print_Area" localSheetId="3">'Funding Summary'!$A$1:$H$120</definedName>
    <definedName name="_xlnm.Print_Area" localSheetId="1">'ISB Weightings'!$B$1:$B$182</definedName>
    <definedName name="_xlnm.Print_Area" localSheetId="4">'Local Protection'!$A$1:$O$26</definedName>
    <definedName name="PTR">#REF!</definedName>
    <definedName name="PYEAR">'[11]Basic Information'!$G$14</definedName>
    <definedName name="qry_nor_list_a3_and_a4_cohorts_joined">#REF!</definedName>
    <definedName name="Query2">#REF!</definedName>
    <definedName name="Query3">#REF!</definedName>
    <definedName name="Query4">#REF!</definedName>
    <definedName name="recoupamount">'[12]Academy Recoupment'!$D$39</definedName>
    <definedName name="SALARY">#N/A</definedName>
    <definedName name="school">'[13]FTE data'!$A$3:$BR$379</definedName>
    <definedName name="schools">#REF!</definedName>
    <definedName name="SchTypeList">[6]CodeSet!$C$1:$C$10</definedName>
    <definedName name="sec_asc">#REF!</definedName>
    <definedName name="SEC_S52">#REF!</definedName>
    <definedName name="SEN">#REF!</definedName>
    <definedName name="TableOne">'[9]S52 Sec'!$A$11:$CO$161</definedName>
    <definedName name="TableOneGross">'[4]S52 Gross'!$A$11:$CY$161</definedName>
    <definedName name="TableOneSec">'[4]S52 Sec'!$A$11:$CW$161</definedName>
    <definedName name="TEST1">#REF!</definedName>
    <definedName name="TESTHKEY">#REF!</definedName>
    <definedName name="TESTKEYS">#REF!</definedName>
    <definedName name="TESTVKEY">#REF!</definedName>
    <definedName name="UoF_Adj">#REF!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6" i="169" l="1"/>
  <c r="T25" i="162"/>
  <c r="F22" i="162"/>
  <c r="AH23" i="175"/>
  <c r="E36" i="58" l="1"/>
  <c r="L9" i="160"/>
  <c r="H26" i="172"/>
  <c r="K4" i="162"/>
  <c r="K37" i="165"/>
  <c r="J37" i="165"/>
  <c r="H37" i="165"/>
  <c r="F37" i="165"/>
  <c r="D37" i="165"/>
  <c r="F64" i="90" l="1"/>
  <c r="F65" i="90"/>
  <c r="F66" i="90"/>
  <c r="D64" i="90"/>
  <c r="D65" i="90"/>
  <c r="D66" i="90"/>
  <c r="B64" i="90"/>
  <c r="B65" i="90"/>
  <c r="B66" i="90"/>
  <c r="AH20" i="175"/>
  <c r="G17" i="90"/>
  <c r="G36" i="58"/>
  <c r="AI6" i="175"/>
  <c r="AI7" i="175"/>
  <c r="AI8" i="175"/>
  <c r="AI9" i="175"/>
  <c r="AI10" i="175"/>
  <c r="AI11" i="175"/>
  <c r="AI12" i="175"/>
  <c r="AI13" i="175"/>
  <c r="AI14" i="175"/>
  <c r="AI15" i="175"/>
  <c r="AI16" i="175"/>
  <c r="AI17" i="175"/>
  <c r="AI18" i="175"/>
  <c r="AI19" i="175"/>
  <c r="AI20" i="175"/>
  <c r="AI21" i="175"/>
  <c r="AI5" i="175"/>
  <c r="AF6" i="175"/>
  <c r="AF7" i="175"/>
  <c r="AF8" i="175"/>
  <c r="AF9" i="175"/>
  <c r="AF10" i="175"/>
  <c r="AF11" i="175"/>
  <c r="AF12" i="175"/>
  <c r="AF13" i="175"/>
  <c r="AF14" i="175"/>
  <c r="AF15" i="175"/>
  <c r="AF16" i="175"/>
  <c r="AF17" i="175"/>
  <c r="AF18" i="175"/>
  <c r="AF19" i="175"/>
  <c r="AF20" i="175"/>
  <c r="AF21" i="175"/>
  <c r="AF5" i="175"/>
  <c r="AC36" i="175"/>
  <c r="AB36" i="175"/>
  <c r="AG5" i="175"/>
  <c r="AH5" i="175" s="1"/>
  <c r="AE5" i="175"/>
  <c r="E24" i="167" l="1"/>
  <c r="E30" i="164"/>
  <c r="L30" i="164" s="1"/>
  <c r="E31" i="164"/>
  <c r="K30" i="164"/>
  <c r="J30" i="164"/>
  <c r="O40" i="164"/>
  <c r="J39" i="164"/>
  <c r="R6" i="171" l="1"/>
  <c r="AN104" i="171"/>
  <c r="W104" i="171"/>
  <c r="V104" i="171"/>
  <c r="O6" i="171"/>
  <c r="S104" i="171"/>
  <c r="L48" i="171"/>
  <c r="L27" i="171"/>
  <c r="L6" i="171"/>
  <c r="G5" i="172"/>
  <c r="F14" i="168" l="1"/>
  <c r="E36" i="169"/>
  <c r="M36" i="169" s="1"/>
  <c r="G20" i="169"/>
  <c r="I36" i="169" l="1"/>
  <c r="G36" i="169"/>
  <c r="K36" i="169" s="1"/>
  <c r="R36" i="169"/>
  <c r="F47" i="164" l="1"/>
  <c r="D8" i="166" l="1"/>
  <c r="O30" i="164" l="1"/>
  <c r="S30" i="164"/>
  <c r="L12" i="160" l="1"/>
  <c r="J13" i="160"/>
  <c r="AG6" i="175"/>
  <c r="AG7" i="175"/>
  <c r="AG8" i="175"/>
  <c r="AG9" i="175"/>
  <c r="AG10" i="175"/>
  <c r="AG11" i="175"/>
  <c r="AG13" i="175"/>
  <c r="AG14" i="175"/>
  <c r="AG15" i="175"/>
  <c r="AG16" i="175"/>
  <c r="AG17" i="175"/>
  <c r="AG18" i="175"/>
  <c r="AG19" i="175"/>
  <c r="AG20" i="175"/>
  <c r="AG21" i="175"/>
  <c r="AC14" i="175"/>
  <c r="L186" i="176" l="1"/>
  <c r="B4" i="176"/>
  <c r="F4" i="176"/>
  <c r="E4" i="176" s="1"/>
  <c r="G4" i="176"/>
  <c r="H4" i="176"/>
  <c r="I4" i="176"/>
  <c r="J4" i="176"/>
  <c r="K4" i="176"/>
  <c r="O4" i="176"/>
  <c r="B5" i="176"/>
  <c r="E5" i="176"/>
  <c r="H5" i="176" s="1"/>
  <c r="K5" i="176"/>
  <c r="K7" i="176" s="1"/>
  <c r="L5" i="176"/>
  <c r="B6" i="176"/>
  <c r="B7" i="176"/>
  <c r="F8" i="176"/>
  <c r="F10" i="176" s="1"/>
  <c r="G8" i="176"/>
  <c r="H8" i="176"/>
  <c r="I8" i="176"/>
  <c r="J8" i="176"/>
  <c r="J10" i="176" s="1"/>
  <c r="K8" i="176"/>
  <c r="B9" i="176"/>
  <c r="G10" i="176"/>
  <c r="H10" i="176"/>
  <c r="I10" i="176"/>
  <c r="K10" i="176"/>
  <c r="B11" i="176"/>
  <c r="B14" i="176"/>
  <c r="F14" i="176"/>
  <c r="E14" i="176" s="1"/>
  <c r="G14" i="176"/>
  <c r="H14" i="176"/>
  <c r="I14" i="176"/>
  <c r="J14" i="176"/>
  <c r="K14" i="176"/>
  <c r="O14" i="176"/>
  <c r="B15" i="176"/>
  <c r="D15" i="176"/>
  <c r="E15" i="176"/>
  <c r="I15" i="176" s="1"/>
  <c r="L15" i="176"/>
  <c r="B16" i="176"/>
  <c r="B17" i="176"/>
  <c r="F18" i="176"/>
  <c r="G18" i="176"/>
  <c r="G20" i="176" s="1"/>
  <c r="H18" i="176"/>
  <c r="I18" i="176"/>
  <c r="J18" i="176"/>
  <c r="K18" i="176"/>
  <c r="K20" i="176" s="1"/>
  <c r="B19" i="176"/>
  <c r="F20" i="176"/>
  <c r="H20" i="176"/>
  <c r="I20" i="176"/>
  <c r="J20" i="176"/>
  <c r="B21" i="176"/>
  <c r="B24" i="176"/>
  <c r="F24" i="176"/>
  <c r="G24" i="176"/>
  <c r="E24" i="176" s="1"/>
  <c r="H24" i="176"/>
  <c r="I24" i="176"/>
  <c r="J24" i="176"/>
  <c r="K24" i="176"/>
  <c r="O24" i="176"/>
  <c r="B25" i="176"/>
  <c r="D25" i="176"/>
  <c r="E25" i="176"/>
  <c r="J25" i="176" s="1"/>
  <c r="B26" i="176"/>
  <c r="B27" i="176"/>
  <c r="F28" i="176"/>
  <c r="F30" i="176" s="1"/>
  <c r="G28" i="176"/>
  <c r="H28" i="176"/>
  <c r="H30" i="176" s="1"/>
  <c r="I28" i="176"/>
  <c r="J28" i="176"/>
  <c r="K28" i="176"/>
  <c r="B29" i="176"/>
  <c r="G30" i="176"/>
  <c r="I30" i="176"/>
  <c r="J30" i="176"/>
  <c r="K30" i="176"/>
  <c r="B31" i="176"/>
  <c r="B33" i="176"/>
  <c r="E33" i="176"/>
  <c r="F33" i="176"/>
  <c r="G33" i="176"/>
  <c r="H33" i="176"/>
  <c r="I33" i="176"/>
  <c r="J33" i="176"/>
  <c r="K33" i="176"/>
  <c r="L33" i="176"/>
  <c r="O33" i="176"/>
  <c r="B34" i="176"/>
  <c r="D34" i="176"/>
  <c r="E34" i="176"/>
  <c r="J34" i="176" s="1"/>
  <c r="B35" i="176"/>
  <c r="B36" i="176"/>
  <c r="F37" i="176"/>
  <c r="G37" i="176"/>
  <c r="H37" i="176"/>
  <c r="I37" i="176"/>
  <c r="J37" i="176"/>
  <c r="K37" i="176"/>
  <c r="B38" i="176"/>
  <c r="B40" i="176"/>
  <c r="B43" i="176"/>
  <c r="F43" i="176"/>
  <c r="F46" i="176" s="1"/>
  <c r="G43" i="176"/>
  <c r="H43" i="176"/>
  <c r="I43" i="176"/>
  <c r="J43" i="176"/>
  <c r="K43" i="176"/>
  <c r="K46" i="176" s="1"/>
  <c r="O43" i="176"/>
  <c r="B44" i="176"/>
  <c r="D44" i="176"/>
  <c r="E44" i="176"/>
  <c r="F44" i="176" s="1"/>
  <c r="F45" i="176" s="1"/>
  <c r="H44" i="176"/>
  <c r="H45" i="176" s="1"/>
  <c r="I44" i="176"/>
  <c r="K44" i="176"/>
  <c r="L44" i="176"/>
  <c r="B45" i="176"/>
  <c r="I45" i="176"/>
  <c r="K45" i="176"/>
  <c r="B46" i="176"/>
  <c r="I46" i="176"/>
  <c r="F47" i="176"/>
  <c r="F49" i="176" s="1"/>
  <c r="G47" i="176"/>
  <c r="G49" i="176" s="1"/>
  <c r="H47" i="176"/>
  <c r="I47" i="176"/>
  <c r="J47" i="176"/>
  <c r="K47" i="176"/>
  <c r="K49" i="176" s="1"/>
  <c r="K50" i="176" s="1"/>
  <c r="B48" i="176"/>
  <c r="H49" i="176"/>
  <c r="I49" i="176"/>
  <c r="J49" i="176"/>
  <c r="B50" i="176"/>
  <c r="B53" i="176"/>
  <c r="F53" i="176"/>
  <c r="E53" i="176" s="1"/>
  <c r="G53" i="176"/>
  <c r="H53" i="176"/>
  <c r="I53" i="176"/>
  <c r="J53" i="176"/>
  <c r="K53" i="176"/>
  <c r="O53" i="176"/>
  <c r="B54" i="176"/>
  <c r="D54" i="176"/>
  <c r="E54" i="176"/>
  <c r="F54" i="176" s="1"/>
  <c r="I54" i="176"/>
  <c r="I55" i="176" s="1"/>
  <c r="B55" i="176"/>
  <c r="B56" i="176"/>
  <c r="F57" i="176"/>
  <c r="G57" i="176"/>
  <c r="G59" i="176" s="1"/>
  <c r="H57" i="176"/>
  <c r="H59" i="176" s="1"/>
  <c r="I57" i="176"/>
  <c r="J57" i="176"/>
  <c r="K57" i="176"/>
  <c r="B58" i="176"/>
  <c r="F59" i="176"/>
  <c r="I59" i="176"/>
  <c r="J59" i="176"/>
  <c r="K59" i="176"/>
  <c r="B60" i="176"/>
  <c r="B63" i="176"/>
  <c r="F63" i="176"/>
  <c r="G63" i="176"/>
  <c r="E63" i="176" s="1"/>
  <c r="H63" i="176"/>
  <c r="I63" i="176"/>
  <c r="J63" i="176"/>
  <c r="K63" i="176"/>
  <c r="O63" i="176"/>
  <c r="B64" i="176"/>
  <c r="D64" i="176"/>
  <c r="E64" i="176"/>
  <c r="G64" i="176" s="1"/>
  <c r="F64" i="176"/>
  <c r="F66" i="176" s="1"/>
  <c r="J64" i="176"/>
  <c r="J66" i="176" s="1"/>
  <c r="B65" i="176"/>
  <c r="F65" i="176"/>
  <c r="J65" i="176"/>
  <c r="B66" i="176"/>
  <c r="F67" i="176"/>
  <c r="G67" i="176"/>
  <c r="H67" i="176"/>
  <c r="H69" i="176" s="1"/>
  <c r="I67" i="176"/>
  <c r="I69" i="176" s="1"/>
  <c r="J67" i="176"/>
  <c r="K67" i="176"/>
  <c r="B68" i="176"/>
  <c r="F69" i="176"/>
  <c r="F70" i="176" s="1"/>
  <c r="G69" i="176"/>
  <c r="J69" i="176"/>
  <c r="K69" i="176"/>
  <c r="B70" i="176"/>
  <c r="B73" i="176"/>
  <c r="E73" i="176"/>
  <c r="F73" i="176"/>
  <c r="F76" i="176" s="1"/>
  <c r="G73" i="176"/>
  <c r="H73" i="176"/>
  <c r="I73" i="176"/>
  <c r="J73" i="176"/>
  <c r="K73" i="176"/>
  <c r="O73" i="176"/>
  <c r="B74" i="176"/>
  <c r="D74" i="176"/>
  <c r="E74" i="176"/>
  <c r="H74" i="176" s="1"/>
  <c r="F74" i="176"/>
  <c r="G74" i="176"/>
  <c r="G76" i="176" s="1"/>
  <c r="K74" i="176"/>
  <c r="K76" i="176" s="1"/>
  <c r="L74" i="176"/>
  <c r="B75" i="176"/>
  <c r="F75" i="176"/>
  <c r="G75" i="176"/>
  <c r="B76" i="176"/>
  <c r="F77" i="176"/>
  <c r="F79" i="176" s="1"/>
  <c r="F80" i="176" s="1"/>
  <c r="G77" i="176"/>
  <c r="H77" i="176"/>
  <c r="I77" i="176"/>
  <c r="I79" i="176" s="1"/>
  <c r="J77" i="176"/>
  <c r="J79" i="176" s="1"/>
  <c r="K77" i="176"/>
  <c r="B78" i="176"/>
  <c r="G79" i="176"/>
  <c r="H79" i="176"/>
  <c r="K79" i="176"/>
  <c r="B80" i="176"/>
  <c r="B83" i="176"/>
  <c r="F83" i="176"/>
  <c r="G83" i="176"/>
  <c r="G86" i="176" s="1"/>
  <c r="H83" i="176"/>
  <c r="I83" i="176"/>
  <c r="J83" i="176"/>
  <c r="K83" i="176"/>
  <c r="O83" i="176"/>
  <c r="B84" i="176"/>
  <c r="D84" i="176"/>
  <c r="E84" i="176"/>
  <c r="I84" i="176" s="1"/>
  <c r="G84" i="176"/>
  <c r="H84" i="176"/>
  <c r="H86" i="176" s="1"/>
  <c r="L84" i="176"/>
  <c r="B85" i="176"/>
  <c r="G85" i="176"/>
  <c r="H85" i="176"/>
  <c r="B86" i="176"/>
  <c r="F87" i="176"/>
  <c r="G87" i="176"/>
  <c r="G89" i="176" s="1"/>
  <c r="G90" i="176" s="1"/>
  <c r="H87" i="176"/>
  <c r="I87" i="176"/>
  <c r="J87" i="176"/>
  <c r="J89" i="176" s="1"/>
  <c r="K87" i="176"/>
  <c r="K89" i="176" s="1"/>
  <c r="B88" i="176"/>
  <c r="F89" i="176"/>
  <c r="H89" i="176"/>
  <c r="I89" i="176"/>
  <c r="B90" i="176"/>
  <c r="B93" i="176"/>
  <c r="F93" i="176"/>
  <c r="G93" i="176"/>
  <c r="H93" i="176"/>
  <c r="I93" i="176"/>
  <c r="J93" i="176"/>
  <c r="K93" i="176"/>
  <c r="O93" i="176"/>
  <c r="B94" i="176"/>
  <c r="D94" i="176"/>
  <c r="E94" i="176"/>
  <c r="B95" i="176"/>
  <c r="B96" i="176"/>
  <c r="F97" i="176"/>
  <c r="G97" i="176"/>
  <c r="G99" i="176" s="1"/>
  <c r="H97" i="176"/>
  <c r="H99" i="176" s="1"/>
  <c r="I97" i="176"/>
  <c r="J97" i="176"/>
  <c r="K97" i="176"/>
  <c r="K99" i="176" s="1"/>
  <c r="B98" i="176"/>
  <c r="F99" i="176"/>
  <c r="I99" i="176"/>
  <c r="J99" i="176"/>
  <c r="B100" i="176"/>
  <c r="B103" i="176"/>
  <c r="F103" i="176"/>
  <c r="G103" i="176"/>
  <c r="H103" i="176"/>
  <c r="I103" i="176"/>
  <c r="J103" i="176"/>
  <c r="K103" i="176"/>
  <c r="O103" i="176"/>
  <c r="B104" i="176"/>
  <c r="D104" i="176"/>
  <c r="E104" i="176"/>
  <c r="K104" i="176" s="1"/>
  <c r="K105" i="176" s="1"/>
  <c r="F104" i="176"/>
  <c r="G104" i="176"/>
  <c r="I104" i="176"/>
  <c r="J104" i="176"/>
  <c r="B105" i="176"/>
  <c r="F105" i="176"/>
  <c r="G105" i="176"/>
  <c r="I105" i="176"/>
  <c r="J105" i="176"/>
  <c r="B106" i="176"/>
  <c r="F106" i="176"/>
  <c r="G106" i="176"/>
  <c r="I106" i="176"/>
  <c r="J106" i="176"/>
  <c r="F107" i="176"/>
  <c r="G107" i="176"/>
  <c r="G109" i="176" s="1"/>
  <c r="G110" i="176" s="1"/>
  <c r="H107" i="176"/>
  <c r="H109" i="176" s="1"/>
  <c r="I107" i="176"/>
  <c r="J107" i="176"/>
  <c r="K107" i="176"/>
  <c r="K109" i="176" s="1"/>
  <c r="B108" i="176"/>
  <c r="F109" i="176"/>
  <c r="I109" i="176"/>
  <c r="I110" i="176" s="1"/>
  <c r="J109" i="176"/>
  <c r="J110" i="176" s="1"/>
  <c r="B110" i="176"/>
  <c r="B113" i="176"/>
  <c r="F113" i="176"/>
  <c r="G113" i="176"/>
  <c r="E113" i="176" s="1"/>
  <c r="H113" i="176"/>
  <c r="I113" i="176"/>
  <c r="I116" i="176" s="1"/>
  <c r="J113" i="176"/>
  <c r="K113" i="176"/>
  <c r="O113" i="176"/>
  <c r="B114" i="176"/>
  <c r="D114" i="176"/>
  <c r="E114" i="176"/>
  <c r="K114" i="176" s="1"/>
  <c r="F114" i="176"/>
  <c r="F116" i="176" s="1"/>
  <c r="G114" i="176"/>
  <c r="I114" i="176"/>
  <c r="J114" i="176"/>
  <c r="J116" i="176" s="1"/>
  <c r="B115" i="176"/>
  <c r="F115" i="176"/>
  <c r="G115" i="176"/>
  <c r="I115" i="176"/>
  <c r="J115" i="176"/>
  <c r="B116" i="176"/>
  <c r="G116" i="176"/>
  <c r="F117" i="176"/>
  <c r="G117" i="176"/>
  <c r="H117" i="176"/>
  <c r="H119" i="176" s="1"/>
  <c r="I117" i="176"/>
  <c r="I119" i="176" s="1"/>
  <c r="J117" i="176"/>
  <c r="K117" i="176"/>
  <c r="B118" i="176"/>
  <c r="F119" i="176"/>
  <c r="G119" i="176"/>
  <c r="J119" i="176"/>
  <c r="J120" i="176" s="1"/>
  <c r="K119" i="176"/>
  <c r="B120" i="176"/>
  <c r="B123" i="176"/>
  <c r="F123" i="176"/>
  <c r="G123" i="176"/>
  <c r="H123" i="176"/>
  <c r="I123" i="176"/>
  <c r="J123" i="176"/>
  <c r="J126" i="176" s="1"/>
  <c r="K123" i="176"/>
  <c r="O123" i="176"/>
  <c r="B124" i="176"/>
  <c r="D124" i="176"/>
  <c r="E124" i="176"/>
  <c r="L124" i="176" s="1"/>
  <c r="F124" i="176"/>
  <c r="F126" i="176" s="1"/>
  <c r="G124" i="176"/>
  <c r="G126" i="176" s="1"/>
  <c r="H124" i="176"/>
  <c r="J124" i="176"/>
  <c r="K124" i="176"/>
  <c r="K126" i="176" s="1"/>
  <c r="B125" i="176"/>
  <c r="F125" i="176"/>
  <c r="H125" i="176"/>
  <c r="J125" i="176"/>
  <c r="K125" i="176"/>
  <c r="B126" i="176"/>
  <c r="H126" i="176"/>
  <c r="F127" i="176"/>
  <c r="F129" i="176" s="1"/>
  <c r="F130" i="176" s="1"/>
  <c r="G127" i="176"/>
  <c r="H127" i="176"/>
  <c r="H129" i="176" s="1"/>
  <c r="I127" i="176"/>
  <c r="I129" i="176" s="1"/>
  <c r="J127" i="176"/>
  <c r="J129" i="176" s="1"/>
  <c r="K127" i="176"/>
  <c r="B128" i="176"/>
  <c r="G129" i="176"/>
  <c r="G130" i="176" s="1"/>
  <c r="K129" i="176"/>
  <c r="B130" i="176"/>
  <c r="B133" i="176"/>
  <c r="F133" i="176"/>
  <c r="G133" i="176"/>
  <c r="H133" i="176"/>
  <c r="I133" i="176"/>
  <c r="J133" i="176"/>
  <c r="K133" i="176"/>
  <c r="K136" i="176" s="1"/>
  <c r="O133" i="176"/>
  <c r="B134" i="176"/>
  <c r="D134" i="176"/>
  <c r="E134" i="176"/>
  <c r="F134" i="176" s="1"/>
  <c r="G134" i="176"/>
  <c r="G136" i="176" s="1"/>
  <c r="H134" i="176"/>
  <c r="H136" i="176" s="1"/>
  <c r="I134" i="176"/>
  <c r="K134" i="176"/>
  <c r="K135" i="176" s="1"/>
  <c r="L134" i="176"/>
  <c r="B135" i="176"/>
  <c r="G135" i="176"/>
  <c r="I135" i="176"/>
  <c r="B136" i="176"/>
  <c r="I136" i="176"/>
  <c r="F137" i="176"/>
  <c r="F139" i="176" s="1"/>
  <c r="G137" i="176"/>
  <c r="G139" i="176" s="1"/>
  <c r="H137" i="176"/>
  <c r="I137" i="176"/>
  <c r="J137" i="176"/>
  <c r="J139" i="176" s="1"/>
  <c r="K137" i="176"/>
  <c r="K139" i="176" s="1"/>
  <c r="K140" i="176" s="1"/>
  <c r="B138" i="176"/>
  <c r="H139" i="176"/>
  <c r="I139" i="176"/>
  <c r="I140" i="176" s="1"/>
  <c r="B140" i="176"/>
  <c r="B143" i="176"/>
  <c r="F143" i="176"/>
  <c r="E143" i="176" s="1"/>
  <c r="G143" i="176"/>
  <c r="H143" i="176"/>
  <c r="I143" i="176"/>
  <c r="J143" i="176"/>
  <c r="K143" i="176"/>
  <c r="O143" i="176"/>
  <c r="B144" i="176"/>
  <c r="D144" i="176"/>
  <c r="E144" i="176"/>
  <c r="I144" i="176" s="1"/>
  <c r="B145" i="176"/>
  <c r="B146" i="176"/>
  <c r="F147" i="176"/>
  <c r="G147" i="176"/>
  <c r="G149" i="176" s="1"/>
  <c r="H147" i="176"/>
  <c r="H149" i="176" s="1"/>
  <c r="I147" i="176"/>
  <c r="J147" i="176"/>
  <c r="K147" i="176"/>
  <c r="K149" i="176" s="1"/>
  <c r="B148" i="176"/>
  <c r="F149" i="176"/>
  <c r="I149" i="176"/>
  <c r="J149" i="176"/>
  <c r="B150" i="176"/>
  <c r="B153" i="176"/>
  <c r="F153" i="176"/>
  <c r="G153" i="176"/>
  <c r="H153" i="176"/>
  <c r="I153" i="176"/>
  <c r="J153" i="176"/>
  <c r="K153" i="176"/>
  <c r="O153" i="176"/>
  <c r="B154" i="176"/>
  <c r="D154" i="176"/>
  <c r="E154" i="176"/>
  <c r="G154" i="176" s="1"/>
  <c r="G155" i="176" s="1"/>
  <c r="F154" i="176"/>
  <c r="F156" i="176" s="1"/>
  <c r="J154" i="176"/>
  <c r="J156" i="176" s="1"/>
  <c r="B155" i="176"/>
  <c r="B156" i="176"/>
  <c r="G156" i="176"/>
  <c r="F157" i="176"/>
  <c r="G157" i="176"/>
  <c r="H157" i="176"/>
  <c r="H159" i="176" s="1"/>
  <c r="I157" i="176"/>
  <c r="I159" i="176" s="1"/>
  <c r="J157" i="176"/>
  <c r="K157" i="176"/>
  <c r="B158" i="176"/>
  <c r="F159" i="176"/>
  <c r="G159" i="176"/>
  <c r="J159" i="176"/>
  <c r="J160" i="176" s="1"/>
  <c r="K159" i="176"/>
  <c r="B160" i="176"/>
  <c r="B163" i="176"/>
  <c r="F163" i="176"/>
  <c r="F166" i="176" s="1"/>
  <c r="G163" i="176"/>
  <c r="H163" i="176"/>
  <c r="I163" i="176"/>
  <c r="E163" i="176" s="1"/>
  <c r="J163" i="176"/>
  <c r="K163" i="176"/>
  <c r="O163" i="176"/>
  <c r="B164" i="176"/>
  <c r="D164" i="176"/>
  <c r="E164" i="176"/>
  <c r="H164" i="176" s="1"/>
  <c r="H165" i="176" s="1"/>
  <c r="F164" i="176"/>
  <c r="F165" i="176" s="1"/>
  <c r="G164" i="176"/>
  <c r="G166" i="176" s="1"/>
  <c r="J164" i="176"/>
  <c r="J166" i="176" s="1"/>
  <c r="K164" i="176"/>
  <c r="K166" i="176" s="1"/>
  <c r="L164" i="176"/>
  <c r="B165" i="176"/>
  <c r="G165" i="176"/>
  <c r="J165" i="176"/>
  <c r="B166" i="176"/>
  <c r="F167" i="176"/>
  <c r="F169" i="176" s="1"/>
  <c r="G167" i="176"/>
  <c r="H167" i="176"/>
  <c r="I167" i="176"/>
  <c r="I169" i="176" s="1"/>
  <c r="J167" i="176"/>
  <c r="J169" i="176" s="1"/>
  <c r="J170" i="176" s="1"/>
  <c r="K167" i="176"/>
  <c r="B168" i="176"/>
  <c r="G169" i="176"/>
  <c r="G170" i="176" s="1"/>
  <c r="H169" i="176"/>
  <c r="K169" i="176"/>
  <c r="K170" i="176" s="1"/>
  <c r="B170" i="176"/>
  <c r="B173" i="176"/>
  <c r="F173" i="176"/>
  <c r="G173" i="176"/>
  <c r="H173" i="176"/>
  <c r="I173" i="176"/>
  <c r="J173" i="176"/>
  <c r="K173" i="176"/>
  <c r="O173" i="176"/>
  <c r="B174" i="176"/>
  <c r="D174" i="176"/>
  <c r="E174" i="176"/>
  <c r="I174" i="176" s="1"/>
  <c r="I175" i="176" s="1"/>
  <c r="H174" i="176"/>
  <c r="H176" i="176" s="1"/>
  <c r="L174" i="176"/>
  <c r="B175" i="176"/>
  <c r="H175" i="176"/>
  <c r="B176" i="176"/>
  <c r="F177" i="176"/>
  <c r="F179" i="176" s="1"/>
  <c r="G177" i="176"/>
  <c r="G179" i="176" s="1"/>
  <c r="H177" i="176"/>
  <c r="I177" i="176"/>
  <c r="J177" i="176"/>
  <c r="J179" i="176" s="1"/>
  <c r="K177" i="176"/>
  <c r="K179" i="176" s="1"/>
  <c r="B178" i="176"/>
  <c r="H179" i="176"/>
  <c r="I179" i="176"/>
  <c r="B180" i="176"/>
  <c r="H13" i="160"/>
  <c r="G13" i="160"/>
  <c r="F13" i="160"/>
  <c r="F12" i="160"/>
  <c r="E13" i="160"/>
  <c r="E12" i="160"/>
  <c r="K13" i="162"/>
  <c r="D13" i="160"/>
  <c r="D12" i="160"/>
  <c r="C12" i="160"/>
  <c r="J9" i="160"/>
  <c r="I9" i="160"/>
  <c r="H9" i="160"/>
  <c r="G9" i="160"/>
  <c r="F9" i="160"/>
  <c r="E9" i="160"/>
  <c r="D9" i="160"/>
  <c r="G160" i="176" l="1"/>
  <c r="H130" i="176"/>
  <c r="G120" i="176"/>
  <c r="F110" i="176"/>
  <c r="I50" i="176"/>
  <c r="I146" i="176"/>
  <c r="I145" i="176"/>
  <c r="I150" i="176"/>
  <c r="K115" i="176"/>
  <c r="K116" i="176"/>
  <c r="K120" i="176" s="1"/>
  <c r="F55" i="176"/>
  <c r="F56" i="176"/>
  <c r="F60" i="176" s="1"/>
  <c r="J26" i="176"/>
  <c r="J27" i="176"/>
  <c r="J31" i="176" s="1"/>
  <c r="F160" i="176"/>
  <c r="E153" i="176"/>
  <c r="H135" i="176"/>
  <c r="F135" i="176"/>
  <c r="I120" i="176"/>
  <c r="K106" i="176"/>
  <c r="K110" i="176" s="1"/>
  <c r="H17" i="176"/>
  <c r="H21" i="176" s="1"/>
  <c r="E123" i="176"/>
  <c r="K96" i="176"/>
  <c r="K100" i="176" s="1"/>
  <c r="F170" i="176"/>
  <c r="H166" i="176"/>
  <c r="H170" i="176" s="1"/>
  <c r="J155" i="176"/>
  <c r="G140" i="176"/>
  <c r="E103" i="176"/>
  <c r="H106" i="176"/>
  <c r="H110" i="176" s="1"/>
  <c r="L110" i="176" s="1"/>
  <c r="M110" i="176" s="1"/>
  <c r="G80" i="176"/>
  <c r="J70" i="176"/>
  <c r="K27" i="176"/>
  <c r="K31" i="176" s="1"/>
  <c r="K80" i="176"/>
  <c r="I16" i="176"/>
  <c r="I17" i="176"/>
  <c r="I21" i="176" s="1"/>
  <c r="J130" i="176"/>
  <c r="E173" i="176"/>
  <c r="F155" i="176"/>
  <c r="F140" i="176"/>
  <c r="G125" i="176"/>
  <c r="F120" i="176"/>
  <c r="H90" i="176"/>
  <c r="I85" i="176"/>
  <c r="I86" i="176"/>
  <c r="I90" i="176" s="1"/>
  <c r="K75" i="176"/>
  <c r="H75" i="176"/>
  <c r="H76" i="176"/>
  <c r="H80" i="176" s="1"/>
  <c r="G65" i="176"/>
  <c r="G66" i="176"/>
  <c r="G70" i="176" s="1"/>
  <c r="F50" i="176"/>
  <c r="J35" i="176"/>
  <c r="J36" i="176"/>
  <c r="H36" i="176"/>
  <c r="H6" i="176"/>
  <c r="H7" i="176"/>
  <c r="H11" i="176" s="1"/>
  <c r="G17" i="176"/>
  <c r="G21" i="176" s="1"/>
  <c r="H180" i="176"/>
  <c r="I176" i="176"/>
  <c r="I180" i="176" s="1"/>
  <c r="K165" i="176"/>
  <c r="H140" i="176"/>
  <c r="H96" i="176"/>
  <c r="H100" i="176" s="1"/>
  <c r="E83" i="176"/>
  <c r="I27" i="176"/>
  <c r="I31" i="176" s="1"/>
  <c r="K11" i="176"/>
  <c r="F136" i="176"/>
  <c r="E133" i="176"/>
  <c r="F144" i="176"/>
  <c r="G144" i="176"/>
  <c r="G145" i="176" s="1"/>
  <c r="H144" i="176"/>
  <c r="H145" i="176" s="1"/>
  <c r="J144" i="176"/>
  <c r="K144" i="176"/>
  <c r="K145" i="176" s="1"/>
  <c r="L144" i="176"/>
  <c r="K130" i="176"/>
  <c r="J94" i="176"/>
  <c r="K94" i="176"/>
  <c r="K95" i="176" s="1"/>
  <c r="L94" i="176"/>
  <c r="F94" i="176"/>
  <c r="G94" i="176"/>
  <c r="G95" i="176" s="1"/>
  <c r="H94" i="176"/>
  <c r="H95" i="176" s="1"/>
  <c r="I94" i="176"/>
  <c r="E93" i="176"/>
  <c r="G96" i="176"/>
  <c r="G100" i="176" s="1"/>
  <c r="H56" i="176"/>
  <c r="H60" i="176" s="1"/>
  <c r="I34" i="176"/>
  <c r="I25" i="176"/>
  <c r="I26" i="176" s="1"/>
  <c r="H15" i="176"/>
  <c r="H16" i="176" s="1"/>
  <c r="G5" i="176"/>
  <c r="L54" i="176"/>
  <c r="E43" i="176"/>
  <c r="H34" i="176"/>
  <c r="H35" i="176" s="1"/>
  <c r="H25" i="176"/>
  <c r="H26" i="176" s="1"/>
  <c r="G15" i="176"/>
  <c r="G16" i="176" s="1"/>
  <c r="F5" i="176"/>
  <c r="G174" i="176"/>
  <c r="G175" i="176" s="1"/>
  <c r="F174" i="176"/>
  <c r="F175" i="176" s="1"/>
  <c r="L154" i="176"/>
  <c r="J134" i="176"/>
  <c r="J135" i="176" s="1"/>
  <c r="I124" i="176"/>
  <c r="I125" i="176" s="1"/>
  <c r="H114" i="176"/>
  <c r="H115" i="176" s="1"/>
  <c r="H104" i="176"/>
  <c r="H105" i="176" s="1"/>
  <c r="F84" i="176"/>
  <c r="F85" i="176" s="1"/>
  <c r="L64" i="176"/>
  <c r="K54" i="176"/>
  <c r="K55" i="176" s="1"/>
  <c r="J44" i="176"/>
  <c r="J45" i="176" s="1"/>
  <c r="G34" i="176"/>
  <c r="G25" i="176"/>
  <c r="G26" i="176" s="1"/>
  <c r="F15" i="176"/>
  <c r="F16" i="176" s="1"/>
  <c r="K154" i="176"/>
  <c r="K64" i="176"/>
  <c r="J54" i="176"/>
  <c r="F34" i="176"/>
  <c r="G27" i="176"/>
  <c r="G31" i="176" s="1"/>
  <c r="F25" i="176"/>
  <c r="K6" i="176"/>
  <c r="K174" i="176"/>
  <c r="I154" i="176"/>
  <c r="I155" i="176" s="1"/>
  <c r="K84" i="176"/>
  <c r="J74" i="176"/>
  <c r="J75" i="176" s="1"/>
  <c r="I64" i="176"/>
  <c r="I65" i="176" s="1"/>
  <c r="I56" i="176"/>
  <c r="I60" i="176" s="1"/>
  <c r="H54" i="176"/>
  <c r="H55" i="176" s="1"/>
  <c r="H46" i="176"/>
  <c r="H50" i="176" s="1"/>
  <c r="G44" i="176"/>
  <c r="L34" i="176"/>
  <c r="L25" i="176"/>
  <c r="K15" i="176"/>
  <c r="J5" i="176"/>
  <c r="J174" i="176"/>
  <c r="J175" i="176" s="1"/>
  <c r="I164" i="176"/>
  <c r="I165" i="176" s="1"/>
  <c r="H154" i="176"/>
  <c r="H155" i="176" s="1"/>
  <c r="L114" i="176"/>
  <c r="L104" i="176"/>
  <c r="L105" i="176" s="1"/>
  <c r="J84" i="176"/>
  <c r="J85" i="176" s="1"/>
  <c r="I74" i="176"/>
  <c r="I75" i="176" s="1"/>
  <c r="H64" i="176"/>
  <c r="H65" i="176" s="1"/>
  <c r="G54" i="176"/>
  <c r="G55" i="176" s="1"/>
  <c r="K34" i="176"/>
  <c r="K35" i="176" s="1"/>
  <c r="K25" i="176"/>
  <c r="K26" i="176" s="1"/>
  <c r="J15" i="176"/>
  <c r="I5" i="176"/>
  <c r="C9" i="160"/>
  <c r="G9" i="163"/>
  <c r="K9" i="163"/>
  <c r="J9" i="163"/>
  <c r="I9" i="163"/>
  <c r="H9" i="163"/>
  <c r="F9" i="163"/>
  <c r="E158" i="163"/>
  <c r="E149" i="163"/>
  <c r="E140" i="163"/>
  <c r="E131" i="163"/>
  <c r="E122" i="163"/>
  <c r="E113" i="163"/>
  <c r="E104" i="163"/>
  <c r="E95" i="163"/>
  <c r="E86" i="163"/>
  <c r="E77" i="163"/>
  <c r="E68" i="163"/>
  <c r="E59" i="163"/>
  <c r="E50" i="163"/>
  <c r="E41" i="163"/>
  <c r="E23" i="163"/>
  <c r="E14" i="163"/>
  <c r="E5" i="163"/>
  <c r="F5" i="163" s="1"/>
  <c r="E5" i="155"/>
  <c r="AA6" i="175"/>
  <c r="AA7" i="175"/>
  <c r="AA8" i="175"/>
  <c r="AA9" i="175"/>
  <c r="AA10" i="175"/>
  <c r="AA11" i="175"/>
  <c r="AA12" i="175"/>
  <c r="AA13" i="175"/>
  <c r="AA14" i="175"/>
  <c r="AA15" i="175"/>
  <c r="AA16" i="175"/>
  <c r="AA17" i="175"/>
  <c r="AA18" i="175"/>
  <c r="AA19" i="175"/>
  <c r="AA20" i="175"/>
  <c r="AA21" i="175"/>
  <c r="Z6" i="175"/>
  <c r="Z7" i="175"/>
  <c r="Z8" i="175"/>
  <c r="Z9" i="175"/>
  <c r="Z10" i="175"/>
  <c r="Z11" i="175"/>
  <c r="Z12" i="175"/>
  <c r="Z13" i="175"/>
  <c r="Z14" i="175"/>
  <c r="Z15" i="175"/>
  <c r="Z16" i="175"/>
  <c r="Z17" i="175"/>
  <c r="Z18" i="175"/>
  <c r="Z19" i="175"/>
  <c r="Z20" i="175"/>
  <c r="Z21" i="175"/>
  <c r="Y6" i="175"/>
  <c r="Y7" i="175"/>
  <c r="Y8" i="175"/>
  <c r="Y9" i="175"/>
  <c r="Y10" i="175"/>
  <c r="Y11" i="175"/>
  <c r="Y12" i="175"/>
  <c r="Y13" i="175"/>
  <c r="Y14" i="175"/>
  <c r="Y15" i="175"/>
  <c r="Y16" i="175"/>
  <c r="Y17" i="175"/>
  <c r="Y18" i="175"/>
  <c r="Y19" i="175"/>
  <c r="Y20" i="175"/>
  <c r="Y21" i="175"/>
  <c r="Y5" i="175"/>
  <c r="J145" i="176" l="1"/>
  <c r="J146" i="176"/>
  <c r="J150" i="176" s="1"/>
  <c r="I76" i="176"/>
  <c r="I80" i="176" s="1"/>
  <c r="J7" i="176"/>
  <c r="J11" i="176" s="1"/>
  <c r="J6" i="176"/>
  <c r="J46" i="176"/>
  <c r="J50" i="176" s="1"/>
  <c r="L170" i="176"/>
  <c r="M170" i="176" s="1"/>
  <c r="G36" i="176"/>
  <c r="G35" i="176"/>
  <c r="F36" i="176"/>
  <c r="F35" i="176"/>
  <c r="F27" i="176"/>
  <c r="F31" i="176" s="1"/>
  <c r="F26" i="176"/>
  <c r="K86" i="176"/>
  <c r="K90" i="176" s="1"/>
  <c r="K85" i="176"/>
  <c r="H116" i="176"/>
  <c r="H120" i="176" s="1"/>
  <c r="L120" i="176" s="1"/>
  <c r="M120" i="176" s="1"/>
  <c r="F145" i="176"/>
  <c r="F146" i="176"/>
  <c r="F150" i="176" s="1"/>
  <c r="I166" i="176"/>
  <c r="I170" i="176" s="1"/>
  <c r="K36" i="176"/>
  <c r="K56" i="176"/>
  <c r="K60" i="176" s="1"/>
  <c r="G56" i="176"/>
  <c r="G60" i="176" s="1"/>
  <c r="L60" i="176" s="1"/>
  <c r="M60" i="176" s="1"/>
  <c r="H156" i="176"/>
  <c r="H160" i="176" s="1"/>
  <c r="G7" i="176"/>
  <c r="G11" i="176" s="1"/>
  <c r="G6" i="176"/>
  <c r="J136" i="176"/>
  <c r="J140" i="176" s="1"/>
  <c r="L140" i="176" s="1"/>
  <c r="M140" i="176" s="1"/>
  <c r="J56" i="176"/>
  <c r="J60" i="176" s="1"/>
  <c r="J55" i="176"/>
  <c r="I7" i="176"/>
  <c r="I11" i="176" s="1"/>
  <c r="I6" i="176"/>
  <c r="K65" i="176"/>
  <c r="K66" i="176"/>
  <c r="K70" i="176" s="1"/>
  <c r="F7" i="176"/>
  <c r="F11" i="176" s="1"/>
  <c r="F6" i="176"/>
  <c r="I96" i="176"/>
  <c r="I100" i="176" s="1"/>
  <c r="I95" i="176"/>
  <c r="H146" i="176"/>
  <c r="H150" i="176" s="1"/>
  <c r="F176" i="176"/>
  <c r="F180" i="176" s="1"/>
  <c r="L180" i="176" s="1"/>
  <c r="M180" i="176" s="1"/>
  <c r="J76" i="176"/>
  <c r="J80" i="176" s="1"/>
  <c r="J17" i="176"/>
  <c r="J21" i="176" s="1"/>
  <c r="J16" i="176"/>
  <c r="G46" i="176"/>
  <c r="G50" i="176" s="1"/>
  <c r="G45" i="176"/>
  <c r="K176" i="176"/>
  <c r="K180" i="176" s="1"/>
  <c r="K175" i="176"/>
  <c r="K155" i="176"/>
  <c r="K156" i="176"/>
  <c r="K160" i="176" s="1"/>
  <c r="I36" i="176"/>
  <c r="I35" i="176"/>
  <c r="G146" i="176"/>
  <c r="G150" i="176" s="1"/>
  <c r="I156" i="176"/>
  <c r="I160" i="176" s="1"/>
  <c r="H66" i="176"/>
  <c r="H70" i="176" s="1"/>
  <c r="I126" i="176"/>
  <c r="I130" i="176" s="1"/>
  <c r="L130" i="176" s="1"/>
  <c r="M130" i="176" s="1"/>
  <c r="K17" i="176"/>
  <c r="K21" i="176" s="1"/>
  <c r="K16" i="176"/>
  <c r="F86" i="176"/>
  <c r="F90" i="176" s="1"/>
  <c r="J86" i="176"/>
  <c r="J90" i="176" s="1"/>
  <c r="I66" i="176"/>
  <c r="I70" i="176" s="1"/>
  <c r="K146" i="176"/>
  <c r="K150" i="176" s="1"/>
  <c r="J176" i="176"/>
  <c r="J180" i="176" s="1"/>
  <c r="J95" i="176"/>
  <c r="J96" i="176"/>
  <c r="J100" i="176" s="1"/>
  <c r="F17" i="176"/>
  <c r="F21" i="176" s="1"/>
  <c r="L21" i="176" s="1"/>
  <c r="M21" i="176" s="1"/>
  <c r="H27" i="176"/>
  <c r="H31" i="176" s="1"/>
  <c r="F95" i="176"/>
  <c r="F96" i="176"/>
  <c r="F100" i="176" s="1"/>
  <c r="L100" i="176" s="1"/>
  <c r="M100" i="176" s="1"/>
  <c r="G176" i="176"/>
  <c r="G180" i="176" s="1"/>
  <c r="W6" i="175"/>
  <c r="W7" i="175"/>
  <c r="W8" i="175"/>
  <c r="W9" i="175"/>
  <c r="W10" i="175"/>
  <c r="W11" i="175"/>
  <c r="W12" i="175"/>
  <c r="W13" i="175"/>
  <c r="AE13" i="175" s="1"/>
  <c r="W14" i="175"/>
  <c r="AE14" i="175" s="1"/>
  <c r="W15" i="175"/>
  <c r="W16" i="175"/>
  <c r="W17" i="175"/>
  <c r="W18" i="175"/>
  <c r="W19" i="175"/>
  <c r="W20" i="175"/>
  <c r="W21" i="175"/>
  <c r="AE21" i="175" s="1"/>
  <c r="V6" i="175"/>
  <c r="V7" i="175"/>
  <c r="G12" i="160" s="1"/>
  <c r="V8" i="175"/>
  <c r="V9" i="175"/>
  <c r="V10" i="175"/>
  <c r="V11" i="175"/>
  <c r="V12" i="175"/>
  <c r="V13" i="175"/>
  <c r="V14" i="175"/>
  <c r="V15" i="175"/>
  <c r="V16" i="175"/>
  <c r="V17" i="175"/>
  <c r="V18" i="175"/>
  <c r="V19" i="175"/>
  <c r="V20" i="175"/>
  <c r="V21" i="175"/>
  <c r="U6" i="175"/>
  <c r="U7" i="175"/>
  <c r="U8" i="175"/>
  <c r="U9" i="175"/>
  <c r="U10" i="175"/>
  <c r="U11" i="175"/>
  <c r="U12" i="175"/>
  <c r="U13" i="175"/>
  <c r="U14" i="175"/>
  <c r="U15" i="175"/>
  <c r="U16" i="175"/>
  <c r="U17" i="175"/>
  <c r="U18" i="175"/>
  <c r="U19" i="175"/>
  <c r="U20" i="175"/>
  <c r="U21" i="175"/>
  <c r="U5" i="175"/>
  <c r="T6" i="175"/>
  <c r="T7" i="175"/>
  <c r="T8" i="175"/>
  <c r="T9" i="175"/>
  <c r="T10" i="175"/>
  <c r="T11" i="175"/>
  <c r="T12" i="175"/>
  <c r="T13" i="175"/>
  <c r="T14" i="175"/>
  <c r="T15" i="175"/>
  <c r="T16" i="175"/>
  <c r="T17" i="175"/>
  <c r="T18" i="175"/>
  <c r="T19" i="175"/>
  <c r="T20" i="175"/>
  <c r="T21" i="175"/>
  <c r="T5" i="175"/>
  <c r="S6" i="175"/>
  <c r="S7" i="175"/>
  <c r="S8" i="175"/>
  <c r="S9" i="175"/>
  <c r="S10" i="175"/>
  <c r="S11" i="175"/>
  <c r="S12" i="175"/>
  <c r="S13" i="175"/>
  <c r="S14" i="175"/>
  <c r="S15" i="175"/>
  <c r="S16" i="175"/>
  <c r="S17" i="175"/>
  <c r="S18" i="175"/>
  <c r="S19" i="175"/>
  <c r="S20" i="175"/>
  <c r="S21" i="175"/>
  <c r="S5" i="175"/>
  <c r="R5" i="175"/>
  <c r="Q5" i="175"/>
  <c r="O5" i="175"/>
  <c r="N5" i="175"/>
  <c r="M5" i="175"/>
  <c r="L5" i="175"/>
  <c r="F6" i="175"/>
  <c r="G6" i="175"/>
  <c r="H6" i="175"/>
  <c r="I6" i="175"/>
  <c r="J6" i="175"/>
  <c r="K6" i="175"/>
  <c r="F7" i="175"/>
  <c r="G7" i="175"/>
  <c r="H7" i="175"/>
  <c r="I7" i="175"/>
  <c r="J7" i="175"/>
  <c r="K7" i="175"/>
  <c r="F8" i="175"/>
  <c r="G8" i="175"/>
  <c r="H8" i="175"/>
  <c r="I8" i="175"/>
  <c r="J8" i="175"/>
  <c r="K8" i="175"/>
  <c r="F9" i="175"/>
  <c r="G9" i="175"/>
  <c r="H9" i="175"/>
  <c r="I9" i="175"/>
  <c r="J9" i="175"/>
  <c r="K9" i="175"/>
  <c r="F10" i="175"/>
  <c r="G10" i="175"/>
  <c r="H10" i="175"/>
  <c r="I10" i="175"/>
  <c r="J10" i="175"/>
  <c r="K10" i="175"/>
  <c r="F11" i="175"/>
  <c r="G11" i="175"/>
  <c r="H11" i="175"/>
  <c r="I11" i="175"/>
  <c r="J11" i="175"/>
  <c r="K11" i="175"/>
  <c r="F12" i="175"/>
  <c r="G12" i="175"/>
  <c r="H12" i="175"/>
  <c r="I12" i="175"/>
  <c r="J12" i="175"/>
  <c r="K12" i="175"/>
  <c r="F13" i="175"/>
  <c r="G13" i="175"/>
  <c r="H13" i="175"/>
  <c r="I13" i="175"/>
  <c r="J13" i="175"/>
  <c r="K13" i="175"/>
  <c r="F14" i="175"/>
  <c r="G14" i="175"/>
  <c r="H14" i="175"/>
  <c r="I14" i="175"/>
  <c r="J14" i="175"/>
  <c r="K14" i="175"/>
  <c r="F15" i="175"/>
  <c r="G15" i="175"/>
  <c r="H15" i="175"/>
  <c r="I15" i="175"/>
  <c r="J15" i="175"/>
  <c r="K15" i="175"/>
  <c r="F16" i="175"/>
  <c r="G16" i="175"/>
  <c r="H16" i="175"/>
  <c r="I16" i="175"/>
  <c r="J16" i="175"/>
  <c r="K16" i="175"/>
  <c r="F17" i="175"/>
  <c r="G17" i="175"/>
  <c r="H17" i="175"/>
  <c r="I17" i="175"/>
  <c r="J17" i="175"/>
  <c r="K17" i="175"/>
  <c r="F18" i="175"/>
  <c r="G18" i="175"/>
  <c r="H18" i="175"/>
  <c r="I18" i="175"/>
  <c r="J18" i="175"/>
  <c r="K18" i="175"/>
  <c r="F19" i="175"/>
  <c r="G19" i="175"/>
  <c r="H19" i="175"/>
  <c r="I19" i="175"/>
  <c r="J19" i="175"/>
  <c r="K19" i="175"/>
  <c r="F20" i="175"/>
  <c r="G20" i="175"/>
  <c r="H20" i="175"/>
  <c r="I20" i="175"/>
  <c r="J20" i="175"/>
  <c r="K20" i="175"/>
  <c r="F21" i="175"/>
  <c r="G21" i="175"/>
  <c r="H21" i="175"/>
  <c r="I21" i="175"/>
  <c r="J21" i="175"/>
  <c r="K21" i="175"/>
  <c r="F5" i="175"/>
  <c r="G5" i="175"/>
  <c r="H5" i="175"/>
  <c r="I5" i="175"/>
  <c r="J5" i="175"/>
  <c r="K5" i="175"/>
  <c r="E6" i="175"/>
  <c r="E7" i="175"/>
  <c r="E8" i="175"/>
  <c r="E9" i="175"/>
  <c r="E10" i="175"/>
  <c r="E11" i="175"/>
  <c r="E12" i="175"/>
  <c r="E13" i="175"/>
  <c r="E14" i="175"/>
  <c r="E15" i="175"/>
  <c r="E16" i="175"/>
  <c r="E17" i="175"/>
  <c r="E18" i="175"/>
  <c r="E19" i="175"/>
  <c r="E20" i="175"/>
  <c r="E21" i="175"/>
  <c r="E5" i="175"/>
  <c r="D6" i="175"/>
  <c r="D7" i="175"/>
  <c r="D8" i="175"/>
  <c r="D9" i="175"/>
  <c r="D10" i="175"/>
  <c r="D11" i="175"/>
  <c r="D12" i="175"/>
  <c r="D13" i="175"/>
  <c r="D14" i="175"/>
  <c r="D15" i="175"/>
  <c r="D16" i="175"/>
  <c r="D17" i="175"/>
  <c r="D18" i="175"/>
  <c r="D19" i="175"/>
  <c r="D20" i="175"/>
  <c r="D21" i="175"/>
  <c r="D5" i="175"/>
  <c r="C6" i="175"/>
  <c r="C7" i="175"/>
  <c r="C8" i="175"/>
  <c r="C9" i="175"/>
  <c r="C10" i="175"/>
  <c r="C11" i="175"/>
  <c r="C12" i="175"/>
  <c r="C13" i="175"/>
  <c r="C14" i="175"/>
  <c r="C15" i="175"/>
  <c r="C16" i="175"/>
  <c r="C17" i="175"/>
  <c r="C18" i="175"/>
  <c r="C19" i="175"/>
  <c r="C20" i="175"/>
  <c r="C21" i="175"/>
  <c r="C5" i="175"/>
  <c r="AO103" i="175"/>
  <c r="AM103" i="175"/>
  <c r="AK103" i="175"/>
  <c r="AI103" i="175"/>
  <c r="AG103" i="175"/>
  <c r="AE103" i="175"/>
  <c r="X14" i="175"/>
  <c r="AB21" i="175"/>
  <c r="AB20" i="175"/>
  <c r="AB19" i="175"/>
  <c r="AB18" i="175"/>
  <c r="B18" i="175"/>
  <c r="AB17" i="175"/>
  <c r="AC17" i="175" s="1"/>
  <c r="AB16" i="175"/>
  <c r="AB15" i="175"/>
  <c r="AB13" i="175"/>
  <c r="AB12" i="175"/>
  <c r="AB11" i="175"/>
  <c r="AB10" i="175"/>
  <c r="AC10" i="175" s="1"/>
  <c r="AB9" i="175"/>
  <c r="AB8" i="175"/>
  <c r="AH14" i="175"/>
  <c r="AB7" i="175"/>
  <c r="J12" i="160" s="1"/>
  <c r="AB6" i="175"/>
  <c r="AB5" i="175"/>
  <c r="AC5" i="175" s="1"/>
  <c r="L90" i="176" l="1"/>
  <c r="L160" i="176"/>
  <c r="M160" i="176" s="1"/>
  <c r="L80" i="176"/>
  <c r="M80" i="176" s="1"/>
  <c r="L50" i="176"/>
  <c r="M50" i="176" s="1"/>
  <c r="L11" i="176"/>
  <c r="L70" i="176"/>
  <c r="M70" i="176" s="1"/>
  <c r="L31" i="176"/>
  <c r="M31" i="176" s="1"/>
  <c r="M11" i="176"/>
  <c r="L150" i="176"/>
  <c r="M150" i="176" s="1"/>
  <c r="AE20" i="175"/>
  <c r="AE11" i="175"/>
  <c r="AE18" i="175"/>
  <c r="AE10" i="175"/>
  <c r="AE17" i="175"/>
  <c r="AE9" i="175"/>
  <c r="AC20" i="175"/>
  <c r="AE16" i="175"/>
  <c r="AE8" i="175"/>
  <c r="AE19" i="175"/>
  <c r="AE15" i="175"/>
  <c r="H12" i="160"/>
  <c r="AE7" i="175"/>
  <c r="AE6" i="175"/>
  <c r="AC21" i="175"/>
  <c r="AH21" i="175" s="1"/>
  <c r="AC13" i="175"/>
  <c r="AH13" i="175" s="1"/>
  <c r="AH17" i="175"/>
  <c r="AH10" i="175"/>
  <c r="AC19" i="175"/>
  <c r="AH19" i="175" s="1"/>
  <c r="AF103" i="175"/>
  <c r="AC15" i="175"/>
  <c r="AH15" i="175" s="1"/>
  <c r="AC6" i="175"/>
  <c r="AH6" i="175" s="1"/>
  <c r="AC16" i="175"/>
  <c r="AH16" i="175" s="1"/>
  <c r="AC9" i="175"/>
  <c r="AH9" i="175" s="1"/>
  <c r="AC11" i="175"/>
  <c r="AH11" i="175" s="1"/>
  <c r="AH103" i="175"/>
  <c r="AJ103" i="175"/>
  <c r="AC8" i="175"/>
  <c r="AH8" i="175" s="1"/>
  <c r="AC18" i="175"/>
  <c r="AH18" i="175" s="1"/>
  <c r="AL103" i="175"/>
  <c r="AC12" i="175"/>
  <c r="AN103" i="175"/>
  <c r="AP103" i="175"/>
  <c r="AC7" i="175"/>
  <c r="AR103" i="175"/>
  <c r="D25" i="90" l="1"/>
  <c r="AH7" i="175"/>
  <c r="M90" i="176"/>
  <c r="L184" i="176"/>
  <c r="L188" i="176" s="1"/>
  <c r="AS103" i="175"/>
  <c r="L15" i="160" l="1"/>
  <c r="AG12" i="175"/>
  <c r="AH12" i="175" s="1"/>
  <c r="AE12" i="175"/>
  <c r="G15" i="162"/>
  <c r="K36" i="165" l="1"/>
  <c r="J36" i="165"/>
  <c r="I36" i="165"/>
  <c r="H36" i="165"/>
  <c r="G36" i="165"/>
  <c r="F36" i="165"/>
  <c r="E36" i="165"/>
  <c r="D36" i="165"/>
  <c r="E34" i="165"/>
  <c r="F34" i="165"/>
  <c r="G34" i="165"/>
  <c r="H34" i="165"/>
  <c r="I34" i="165"/>
  <c r="J34" i="165"/>
  <c r="K34" i="165"/>
  <c r="L34" i="165"/>
  <c r="D34" i="165"/>
  <c r="E5" i="165"/>
  <c r="E6" i="165"/>
  <c r="E7" i="165"/>
  <c r="E8" i="165"/>
  <c r="E9" i="165"/>
  <c r="E10" i="165"/>
  <c r="E11" i="165"/>
  <c r="E12" i="165"/>
  <c r="E13" i="165"/>
  <c r="E14" i="165"/>
  <c r="E4" i="165"/>
  <c r="AG31" i="164"/>
  <c r="AG32" i="164"/>
  <c r="AG33" i="164"/>
  <c r="AG34" i="164"/>
  <c r="AG35" i="164"/>
  <c r="AG36" i="164"/>
  <c r="AG37" i="164"/>
  <c r="AG38" i="164"/>
  <c r="AG40" i="164"/>
  <c r="AG42" i="164"/>
  <c r="AG43" i="164"/>
  <c r="AG44" i="164"/>
  <c r="AG46" i="164"/>
  <c r="AG30" i="164"/>
  <c r="Z48" i="164"/>
  <c r="Y48" i="164"/>
  <c r="X48" i="164"/>
  <c r="W48" i="164"/>
  <c r="AC46" i="164"/>
  <c r="AA46" i="164"/>
  <c r="AC45" i="164"/>
  <c r="AA45" i="164"/>
  <c r="AC44" i="164"/>
  <c r="AA44" i="164"/>
  <c r="AC43" i="164"/>
  <c r="AA43" i="164"/>
  <c r="AC42" i="164"/>
  <c r="AA42" i="164"/>
  <c r="AC41" i="164"/>
  <c r="AA41" i="164"/>
  <c r="AC40" i="164"/>
  <c r="AA40" i="164"/>
  <c r="AA48" i="164" s="1"/>
  <c r="AC39" i="164"/>
  <c r="AA39" i="164"/>
  <c r="AC38" i="164"/>
  <c r="AA38" i="164"/>
  <c r="AC37" i="164"/>
  <c r="AA37" i="164"/>
  <c r="AC36" i="164"/>
  <c r="AA36" i="164"/>
  <c r="AC35" i="164"/>
  <c r="AA35" i="164"/>
  <c r="AC34" i="164"/>
  <c r="AA34" i="164"/>
  <c r="AC33" i="164"/>
  <c r="AA33" i="164"/>
  <c r="AC32" i="164"/>
  <c r="AA32" i="164"/>
  <c r="AC31" i="164"/>
  <c r="AA31" i="164"/>
  <c r="AC30" i="164"/>
  <c r="AA30" i="164"/>
  <c r="J39" i="158" l="1"/>
  <c r="J38" i="164"/>
  <c r="O39" i="164"/>
  <c r="E39" i="164"/>
  <c r="K39" i="164"/>
  <c r="D39" i="90" l="1"/>
  <c r="D38" i="90"/>
  <c r="D37" i="90"/>
  <c r="D36" i="90"/>
  <c r="D35" i="90"/>
  <c r="D34" i="90"/>
  <c r="D33" i="90"/>
  <c r="F72" i="90"/>
  <c r="F71" i="90"/>
  <c r="F70" i="90"/>
  <c r="F69" i="90"/>
  <c r="F68" i="90"/>
  <c r="F63" i="90"/>
  <c r="F62" i="90"/>
  <c r="F61" i="90"/>
  <c r="F60" i="90"/>
  <c r="F59" i="90"/>
  <c r="F58" i="90"/>
  <c r="F57" i="90"/>
  <c r="F56" i="90"/>
  <c r="D72" i="90"/>
  <c r="D71" i="90"/>
  <c r="D70" i="90"/>
  <c r="D69" i="90"/>
  <c r="D68" i="90"/>
  <c r="D62" i="90"/>
  <c r="D60" i="90"/>
  <c r="D58" i="90"/>
  <c r="D56" i="90"/>
  <c r="B72" i="90"/>
  <c r="B70" i="90"/>
  <c r="B68" i="90"/>
  <c r="B62" i="90"/>
  <c r="B60" i="90"/>
  <c r="B58" i="90"/>
  <c r="AG41" i="164"/>
  <c r="E48" i="161" l="1"/>
  <c r="D45" i="161" l="1"/>
  <c r="D44" i="161"/>
  <c r="G47" i="161" l="1"/>
  <c r="G51" i="161" s="1"/>
  <c r="H13" i="165" l="1"/>
  <c r="I13" i="165"/>
  <c r="Q49" i="164"/>
  <c r="C5" i="166" l="1"/>
  <c r="C6" i="166"/>
  <c r="C7" i="166"/>
  <c r="C8" i="166"/>
  <c r="C9" i="166"/>
  <c r="C10" i="166"/>
  <c r="C11" i="166"/>
  <c r="C12" i="166"/>
  <c r="C13" i="166"/>
  <c r="C14" i="166"/>
  <c r="C15" i="166"/>
  <c r="C16" i="166"/>
  <c r="C17" i="166"/>
  <c r="C18" i="166"/>
  <c r="C19" i="166"/>
  <c r="C20" i="166"/>
  <c r="C4" i="166"/>
  <c r="C31" i="166"/>
  <c r="P49" i="164"/>
  <c r="G49" i="164"/>
  <c r="F49" i="164"/>
  <c r="D49" i="164"/>
  <c r="H47" i="164"/>
  <c r="I47" i="164" s="1"/>
  <c r="J47" i="164" s="1"/>
  <c r="H46" i="164"/>
  <c r="I46" i="164" s="1"/>
  <c r="J46" i="164" s="1"/>
  <c r="E46" i="164"/>
  <c r="H45" i="164"/>
  <c r="I45" i="164" s="1"/>
  <c r="J45" i="164" s="1"/>
  <c r="O45" i="164" s="1"/>
  <c r="S45" i="164" s="1"/>
  <c r="E45" i="164"/>
  <c r="H44" i="164"/>
  <c r="I44" i="164" s="1"/>
  <c r="J44" i="164" s="1"/>
  <c r="E44" i="164"/>
  <c r="H43" i="164"/>
  <c r="I43" i="164" s="1"/>
  <c r="J43" i="164" s="1"/>
  <c r="E43" i="164"/>
  <c r="H42" i="164"/>
  <c r="I42" i="164" s="1"/>
  <c r="J42" i="164" s="1"/>
  <c r="E42" i="164"/>
  <c r="H41" i="164"/>
  <c r="I41" i="164" s="1"/>
  <c r="J41" i="164" s="1"/>
  <c r="E41" i="164"/>
  <c r="H40" i="164"/>
  <c r="I40" i="164" s="1"/>
  <c r="J40" i="164" s="1"/>
  <c r="E40" i="164"/>
  <c r="H39" i="164"/>
  <c r="I39" i="164" s="1"/>
  <c r="H38" i="164"/>
  <c r="I38" i="164" s="1"/>
  <c r="E38" i="164"/>
  <c r="H37" i="164"/>
  <c r="I37" i="164" s="1"/>
  <c r="J37" i="164" s="1"/>
  <c r="E37" i="164"/>
  <c r="H36" i="164"/>
  <c r="I36" i="164" s="1"/>
  <c r="J36" i="164" s="1"/>
  <c r="E36" i="164"/>
  <c r="H35" i="164"/>
  <c r="I35" i="164" s="1"/>
  <c r="J35" i="164" s="1"/>
  <c r="E35" i="164"/>
  <c r="H34" i="164"/>
  <c r="I34" i="164" s="1"/>
  <c r="J34" i="164" s="1"/>
  <c r="E34" i="164"/>
  <c r="H33" i="164"/>
  <c r="I33" i="164" s="1"/>
  <c r="J33" i="164" s="1"/>
  <c r="K33" i="164" s="1"/>
  <c r="E33" i="164"/>
  <c r="H32" i="164"/>
  <c r="I32" i="164" s="1"/>
  <c r="J32" i="164" s="1"/>
  <c r="E32" i="164"/>
  <c r="H31" i="164"/>
  <c r="I31" i="164" s="1"/>
  <c r="J31" i="164" s="1"/>
  <c r="H30" i="164"/>
  <c r="W26" i="164"/>
  <c r="V26" i="164"/>
  <c r="X25" i="164"/>
  <c r="X24" i="164"/>
  <c r="X23" i="164"/>
  <c r="X22" i="164"/>
  <c r="R22" i="164"/>
  <c r="Q22" i="164"/>
  <c r="X21" i="164"/>
  <c r="D21" i="164"/>
  <c r="X20" i="164"/>
  <c r="G19" i="164" s="1"/>
  <c r="X19" i="164"/>
  <c r="G18" i="164" s="1"/>
  <c r="F19" i="164"/>
  <c r="E19" i="164"/>
  <c r="X18" i="164"/>
  <c r="G17" i="164" s="1"/>
  <c r="F18" i="164"/>
  <c r="E18" i="164"/>
  <c r="X17" i="164"/>
  <c r="G16" i="164" s="1"/>
  <c r="F17" i="164"/>
  <c r="E17" i="164"/>
  <c r="X16" i="164"/>
  <c r="G15" i="164" s="1"/>
  <c r="F16" i="164"/>
  <c r="E16" i="164"/>
  <c r="X15" i="164"/>
  <c r="G14" i="164" s="1"/>
  <c r="F15" i="164"/>
  <c r="E15" i="164"/>
  <c r="X14" i="164"/>
  <c r="G13" i="164" s="1"/>
  <c r="F14" i="164"/>
  <c r="E14" i="164"/>
  <c r="X13" i="164"/>
  <c r="F13" i="164"/>
  <c r="E13" i="164"/>
  <c r="X12" i="164"/>
  <c r="G11" i="164" s="1"/>
  <c r="F12" i="164"/>
  <c r="E12" i="164"/>
  <c r="X11" i="164"/>
  <c r="G10" i="164" s="1"/>
  <c r="F11" i="164"/>
  <c r="E11" i="164"/>
  <c r="X10" i="164"/>
  <c r="G9" i="164" s="1"/>
  <c r="F10" i="164"/>
  <c r="E10" i="164"/>
  <c r="X9" i="164"/>
  <c r="G8" i="164" s="1"/>
  <c r="F9" i="164"/>
  <c r="E9" i="164"/>
  <c r="X8" i="164"/>
  <c r="G7" i="164" s="1"/>
  <c r="F8" i="164"/>
  <c r="E8" i="164"/>
  <c r="X7" i="164"/>
  <c r="G6" i="164" s="1"/>
  <c r="F7" i="164"/>
  <c r="E7" i="164"/>
  <c r="X6" i="164"/>
  <c r="F6" i="164"/>
  <c r="E6" i="164"/>
  <c r="X5" i="164"/>
  <c r="G5" i="164" s="1"/>
  <c r="F5" i="164"/>
  <c r="E5" i="164"/>
  <c r="X4" i="164"/>
  <c r="G4" i="164" s="1"/>
  <c r="F4" i="164"/>
  <c r="E4" i="164"/>
  <c r="X3" i="164"/>
  <c r="G3" i="164" s="1"/>
  <c r="F3" i="164"/>
  <c r="E3" i="164"/>
  <c r="H5" i="164" l="1"/>
  <c r="I5" i="164" s="1"/>
  <c r="J5" i="164" s="1"/>
  <c r="K5" i="164" s="1"/>
  <c r="L5" i="164" s="1"/>
  <c r="E49" i="164"/>
  <c r="L33" i="164"/>
  <c r="M33" i="164" s="1"/>
  <c r="H7" i="164"/>
  <c r="I7" i="164" s="1"/>
  <c r="J7" i="164" s="1"/>
  <c r="K7" i="164" s="1"/>
  <c r="L7" i="164" s="1"/>
  <c r="H15" i="164"/>
  <c r="I15" i="164" s="1"/>
  <c r="J15" i="164" s="1"/>
  <c r="K15" i="164" s="1"/>
  <c r="L15" i="164" s="1"/>
  <c r="H4" i="164"/>
  <c r="I4" i="164" s="1"/>
  <c r="J4" i="164" s="1"/>
  <c r="K4" i="164" s="1"/>
  <c r="L4" i="164" s="1"/>
  <c r="G12" i="164"/>
  <c r="G21" i="164" s="1"/>
  <c r="H10" i="164"/>
  <c r="I10" i="164" s="1"/>
  <c r="J10" i="164" s="1"/>
  <c r="K10" i="164" s="1"/>
  <c r="L10" i="164" s="1"/>
  <c r="H11" i="164"/>
  <c r="I11" i="164" s="1"/>
  <c r="J11" i="164" s="1"/>
  <c r="K11" i="164" s="1"/>
  <c r="L11" i="164" s="1"/>
  <c r="H49" i="164"/>
  <c r="H19" i="164"/>
  <c r="I19" i="164" s="1"/>
  <c r="J19" i="164" s="1"/>
  <c r="K19" i="164" s="1"/>
  <c r="L19" i="164" s="1"/>
  <c r="H17" i="164"/>
  <c r="I17" i="164" s="1"/>
  <c r="J17" i="164" s="1"/>
  <c r="K17" i="164" s="1"/>
  <c r="L17" i="164" s="1"/>
  <c r="E21" i="164"/>
  <c r="H6" i="164"/>
  <c r="I6" i="164" s="1"/>
  <c r="J6" i="164" s="1"/>
  <c r="K6" i="164" s="1"/>
  <c r="L6" i="164" s="1"/>
  <c r="F21" i="164"/>
  <c r="H8" i="164"/>
  <c r="I8" i="164" s="1"/>
  <c r="J8" i="164" s="1"/>
  <c r="K8" i="164" s="1"/>
  <c r="L8" i="164" s="1"/>
  <c r="H13" i="164"/>
  <c r="I13" i="164" s="1"/>
  <c r="J13" i="164" s="1"/>
  <c r="K13" i="164" s="1"/>
  <c r="L13" i="164" s="1"/>
  <c r="H14" i="164"/>
  <c r="I14" i="164" s="1"/>
  <c r="J14" i="164" s="1"/>
  <c r="K14" i="164" s="1"/>
  <c r="L14" i="164" s="1"/>
  <c r="L39" i="164"/>
  <c r="M39" i="164" s="1"/>
  <c r="S39" i="164"/>
  <c r="O47" i="164"/>
  <c r="S47" i="164" s="1"/>
  <c r="K47" i="164"/>
  <c r="L47" i="164" s="1"/>
  <c r="M47" i="164" s="1"/>
  <c r="H3" i="164"/>
  <c r="H18" i="164"/>
  <c r="I18" i="164" s="1"/>
  <c r="J18" i="164" s="1"/>
  <c r="K18" i="164" s="1"/>
  <c r="L18" i="164" s="1"/>
  <c r="K36" i="164"/>
  <c r="L36" i="164" s="1"/>
  <c r="M36" i="164" s="1"/>
  <c r="O36" i="164"/>
  <c r="S36" i="164" s="1"/>
  <c r="K40" i="164"/>
  <c r="L40" i="164" s="1"/>
  <c r="M40" i="164" s="1"/>
  <c r="S40" i="164"/>
  <c r="K44" i="164"/>
  <c r="L44" i="164" s="1"/>
  <c r="M44" i="164" s="1"/>
  <c r="O44" i="164"/>
  <c r="S44" i="164" s="1"/>
  <c r="O46" i="164"/>
  <c r="S46" i="164" s="1"/>
  <c r="K46" i="164"/>
  <c r="L46" i="164" s="1"/>
  <c r="M46" i="164" s="1"/>
  <c r="K41" i="164"/>
  <c r="L41" i="164" s="1"/>
  <c r="M41" i="164" s="1"/>
  <c r="O41" i="164"/>
  <c r="S41" i="164" s="1"/>
  <c r="K35" i="164"/>
  <c r="L35" i="164" s="1"/>
  <c r="M35" i="164" s="1"/>
  <c r="O35" i="164"/>
  <c r="S35" i="164" s="1"/>
  <c r="H9" i="164"/>
  <c r="I9" i="164" s="1"/>
  <c r="J9" i="164" s="1"/>
  <c r="K9" i="164" s="1"/>
  <c r="L9" i="164" s="1"/>
  <c r="K32" i="164"/>
  <c r="O32" i="164"/>
  <c r="S32" i="164" s="1"/>
  <c r="O43" i="164"/>
  <c r="S43" i="164" s="1"/>
  <c r="K43" i="164"/>
  <c r="L43" i="164" s="1"/>
  <c r="M43" i="164" s="1"/>
  <c r="H16" i="164"/>
  <c r="I16" i="164" s="1"/>
  <c r="J16" i="164" s="1"/>
  <c r="K16" i="164" s="1"/>
  <c r="L16" i="164" s="1"/>
  <c r="O37" i="164"/>
  <c r="S37" i="164" s="1"/>
  <c r="K37" i="164"/>
  <c r="L37" i="164" s="1"/>
  <c r="M37" i="164" s="1"/>
  <c r="O31" i="164"/>
  <c r="S31" i="164" s="1"/>
  <c r="K31" i="164"/>
  <c r="L31" i="164" s="1"/>
  <c r="M31" i="164" s="1"/>
  <c r="O34" i="164"/>
  <c r="S34" i="164" s="1"/>
  <c r="K34" i="164"/>
  <c r="L34" i="164" s="1"/>
  <c r="M34" i="164" s="1"/>
  <c r="O38" i="164"/>
  <c r="S38" i="164" s="1"/>
  <c r="K38" i="164"/>
  <c r="L38" i="164" s="1"/>
  <c r="M38" i="164" s="1"/>
  <c r="O42" i="164"/>
  <c r="S42" i="164" s="1"/>
  <c r="K42" i="164"/>
  <c r="L42" i="164" s="1"/>
  <c r="M42" i="164" s="1"/>
  <c r="K45" i="164"/>
  <c r="L45" i="164" s="1"/>
  <c r="M45" i="164" s="1"/>
  <c r="O33" i="164"/>
  <c r="S33" i="164" s="1"/>
  <c r="X26" i="164"/>
  <c r="I30" i="164"/>
  <c r="H12" i="164" l="1"/>
  <c r="I12" i="164" s="1"/>
  <c r="J12" i="164" s="1"/>
  <c r="K12" i="164" s="1"/>
  <c r="L12" i="164" s="1"/>
  <c r="L32" i="164"/>
  <c r="M32" i="164" s="1"/>
  <c r="I3" i="164"/>
  <c r="I49" i="164"/>
  <c r="S49" i="164"/>
  <c r="G31" i="161" l="1"/>
  <c r="E21" i="161"/>
  <c r="G22" i="161" s="1"/>
  <c r="H21" i="164"/>
  <c r="J49" i="164"/>
  <c r="J3" i="164"/>
  <c r="I21" i="164"/>
  <c r="J21" i="164" l="1"/>
  <c r="K3" i="164"/>
  <c r="K49" i="164"/>
  <c r="M30" i="164" l="1"/>
  <c r="L49" i="164"/>
  <c r="K21" i="164"/>
  <c r="L3" i="164"/>
  <c r="L21" i="164" s="1"/>
  <c r="M49" i="164" l="1"/>
  <c r="S51" i="164" s="1"/>
  <c r="M51" i="164"/>
  <c r="G11" i="161" l="1"/>
  <c r="E20" i="169"/>
  <c r="S55" i="172"/>
  <c r="S56" i="172"/>
  <c r="S57" i="172"/>
  <c r="S58" i="172"/>
  <c r="S59" i="172"/>
  <c r="S60" i="172"/>
  <c r="S61" i="172"/>
  <c r="S62" i="172"/>
  <c r="S63" i="172"/>
  <c r="S64" i="172"/>
  <c r="S65" i="172"/>
  <c r="S66" i="172"/>
  <c r="S67" i="172"/>
  <c r="S68" i="172"/>
  <c r="S69" i="172"/>
  <c r="S70" i="172"/>
  <c r="Q55" i="172"/>
  <c r="Q56" i="172"/>
  <c r="Q57" i="172"/>
  <c r="Q58" i="172"/>
  <c r="Q59" i="172"/>
  <c r="Q60" i="172"/>
  <c r="Q61" i="172"/>
  <c r="Q62" i="172"/>
  <c r="Q63" i="172"/>
  <c r="Q64" i="172"/>
  <c r="Q65" i="172"/>
  <c r="Q66" i="172"/>
  <c r="Q67" i="172"/>
  <c r="Q68" i="172"/>
  <c r="Q70" i="172"/>
  <c r="O55" i="172"/>
  <c r="O56" i="172"/>
  <c r="O57" i="172"/>
  <c r="O58" i="172"/>
  <c r="O59" i="172"/>
  <c r="O60" i="172"/>
  <c r="O61" i="172"/>
  <c r="O62" i="172"/>
  <c r="O63" i="172"/>
  <c r="O64" i="172"/>
  <c r="O65" i="172"/>
  <c r="O66" i="172"/>
  <c r="O67" i="172"/>
  <c r="O68" i="172"/>
  <c r="O69" i="172"/>
  <c r="O70" i="172"/>
  <c r="M55" i="172"/>
  <c r="M56" i="172"/>
  <c r="M57" i="172"/>
  <c r="M58" i="172"/>
  <c r="M59" i="172"/>
  <c r="M60" i="172"/>
  <c r="M61" i="172"/>
  <c r="M62" i="172"/>
  <c r="M63" i="172"/>
  <c r="M64" i="172"/>
  <c r="M65" i="172"/>
  <c r="M66" i="172"/>
  <c r="M67" i="172"/>
  <c r="M68" i="172"/>
  <c r="M69" i="172"/>
  <c r="M70" i="172"/>
  <c r="K55" i="172"/>
  <c r="K56" i="172"/>
  <c r="K57" i="172"/>
  <c r="K58" i="172"/>
  <c r="K59" i="172"/>
  <c r="K60" i="172"/>
  <c r="K61" i="172"/>
  <c r="K62" i="172"/>
  <c r="K63" i="172"/>
  <c r="K64" i="172"/>
  <c r="K65" i="172"/>
  <c r="K66" i="172"/>
  <c r="K67" i="172"/>
  <c r="K68" i="172"/>
  <c r="K69" i="172"/>
  <c r="K70" i="172"/>
  <c r="S54" i="172"/>
  <c r="Q54" i="172"/>
  <c r="O54" i="172"/>
  <c r="M54" i="172"/>
  <c r="K54" i="172"/>
  <c r="I55" i="172"/>
  <c r="I56" i="172"/>
  <c r="I57" i="172"/>
  <c r="I58" i="172"/>
  <c r="I59" i="172"/>
  <c r="I60" i="172"/>
  <c r="I61" i="172"/>
  <c r="I62" i="172"/>
  <c r="I63" i="172"/>
  <c r="I64" i="172"/>
  <c r="I65" i="172"/>
  <c r="I66" i="172"/>
  <c r="I67" i="172"/>
  <c r="I68" i="172"/>
  <c r="I70" i="172"/>
  <c r="I54" i="172"/>
  <c r="G55" i="172"/>
  <c r="G56" i="172"/>
  <c r="G57" i="172"/>
  <c r="G58" i="172"/>
  <c r="G59" i="172"/>
  <c r="G60" i="172"/>
  <c r="G61" i="172"/>
  <c r="G62" i="172"/>
  <c r="G63" i="172"/>
  <c r="G64" i="172"/>
  <c r="G65" i="172"/>
  <c r="G66" i="172"/>
  <c r="G67" i="172"/>
  <c r="G68" i="172"/>
  <c r="G69" i="172"/>
  <c r="G70" i="172"/>
  <c r="G54" i="172"/>
  <c r="R55" i="172"/>
  <c r="R56" i="172"/>
  <c r="R57" i="172"/>
  <c r="R58" i="172"/>
  <c r="R59" i="172"/>
  <c r="R60" i="172"/>
  <c r="R61" i="172"/>
  <c r="R62" i="172"/>
  <c r="R63" i="172"/>
  <c r="R64" i="172"/>
  <c r="R65" i="172"/>
  <c r="R66" i="172"/>
  <c r="R67" i="172"/>
  <c r="R68" i="172"/>
  <c r="R69" i="172"/>
  <c r="R70" i="172"/>
  <c r="P55" i="172"/>
  <c r="P56" i="172"/>
  <c r="P57" i="172"/>
  <c r="P58" i="172"/>
  <c r="P59" i="172"/>
  <c r="P60" i="172"/>
  <c r="P61" i="172"/>
  <c r="P62" i="172"/>
  <c r="P63" i="172"/>
  <c r="P64" i="172"/>
  <c r="P65" i="172"/>
  <c r="P66" i="172"/>
  <c r="P67" i="172"/>
  <c r="P68" i="172"/>
  <c r="P69" i="172"/>
  <c r="P70" i="172"/>
  <c r="N55" i="172"/>
  <c r="N56" i="172"/>
  <c r="N57" i="172"/>
  <c r="N58" i="172"/>
  <c r="N59" i="172"/>
  <c r="N60" i="172"/>
  <c r="N61" i="172"/>
  <c r="N62" i="172"/>
  <c r="N63" i="172"/>
  <c r="N64" i="172"/>
  <c r="N65" i="172"/>
  <c r="N66" i="172"/>
  <c r="N67" i="172"/>
  <c r="N68" i="172"/>
  <c r="N69" i="172"/>
  <c r="N70" i="172"/>
  <c r="L55" i="172"/>
  <c r="L56" i="172"/>
  <c r="L57" i="172"/>
  <c r="L58" i="172"/>
  <c r="L59" i="172"/>
  <c r="L60" i="172"/>
  <c r="L61" i="172"/>
  <c r="L62" i="172"/>
  <c r="L63" i="172"/>
  <c r="L64" i="172"/>
  <c r="L65" i="172"/>
  <c r="L66" i="172"/>
  <c r="L67" i="172"/>
  <c r="L68" i="172"/>
  <c r="L69" i="172"/>
  <c r="L70" i="172"/>
  <c r="J55" i="172"/>
  <c r="J56" i="172"/>
  <c r="J57" i="172"/>
  <c r="J58" i="172"/>
  <c r="J59" i="172"/>
  <c r="J60" i="172"/>
  <c r="J61" i="172"/>
  <c r="J62" i="172"/>
  <c r="J63" i="172"/>
  <c r="J64" i="172"/>
  <c r="J65" i="172"/>
  <c r="J66" i="172"/>
  <c r="J67" i="172"/>
  <c r="J68" i="172"/>
  <c r="J69" i="172"/>
  <c r="J70" i="172"/>
  <c r="H55" i="172"/>
  <c r="H56" i="172"/>
  <c r="H57" i="172"/>
  <c r="H58" i="172"/>
  <c r="H59" i="172"/>
  <c r="H60" i="172"/>
  <c r="H61" i="172"/>
  <c r="H62" i="172"/>
  <c r="H63" i="172"/>
  <c r="H64" i="172"/>
  <c r="H65" i="172"/>
  <c r="H66" i="172"/>
  <c r="H67" i="172"/>
  <c r="H68" i="172"/>
  <c r="H69" i="172"/>
  <c r="H70" i="172"/>
  <c r="R54" i="172"/>
  <c r="P54" i="172"/>
  <c r="N54" i="172"/>
  <c r="L54" i="172"/>
  <c r="J54" i="172"/>
  <c r="H54" i="172"/>
  <c r="F55" i="172"/>
  <c r="F56" i="172"/>
  <c r="F57" i="172"/>
  <c r="F58" i="172"/>
  <c r="F59" i="172"/>
  <c r="F60" i="172"/>
  <c r="F61" i="172"/>
  <c r="F62" i="172"/>
  <c r="F63" i="172"/>
  <c r="F64" i="172"/>
  <c r="F65" i="172"/>
  <c r="F66" i="172"/>
  <c r="F67" i="172"/>
  <c r="F68" i="172"/>
  <c r="F69" i="172"/>
  <c r="F70" i="172"/>
  <c r="F54" i="172"/>
  <c r="E55" i="172"/>
  <c r="E56" i="172"/>
  <c r="E57" i="172"/>
  <c r="E58" i="172"/>
  <c r="E59" i="172"/>
  <c r="E60" i="172"/>
  <c r="E61" i="172"/>
  <c r="E62" i="172"/>
  <c r="E63" i="172"/>
  <c r="E64" i="172"/>
  <c r="E65" i="172"/>
  <c r="E66" i="172"/>
  <c r="E67" i="172"/>
  <c r="E68" i="172"/>
  <c r="E69" i="172"/>
  <c r="E70" i="172"/>
  <c r="E54" i="172"/>
  <c r="J81" i="171" l="1"/>
  <c r="I81" i="171"/>
  <c r="H81" i="171"/>
  <c r="G81" i="171"/>
  <c r="F81" i="171"/>
  <c r="E81" i="171"/>
  <c r="D81" i="171"/>
  <c r="J80" i="171"/>
  <c r="I80" i="171"/>
  <c r="H80" i="171"/>
  <c r="G80" i="171"/>
  <c r="F80" i="171"/>
  <c r="E80" i="171"/>
  <c r="D80" i="171"/>
  <c r="J79" i="171"/>
  <c r="I79" i="171"/>
  <c r="H79" i="171"/>
  <c r="G79" i="171"/>
  <c r="F79" i="171"/>
  <c r="E79" i="171"/>
  <c r="D79" i="171"/>
  <c r="J75" i="171"/>
  <c r="H75" i="171"/>
  <c r="F75" i="171"/>
  <c r="J73" i="171"/>
  <c r="I73" i="171"/>
  <c r="H73" i="171"/>
  <c r="G73" i="171"/>
  <c r="F73" i="171"/>
  <c r="E73" i="171"/>
  <c r="D73" i="171"/>
  <c r="J60" i="171"/>
  <c r="I60" i="171"/>
  <c r="H60" i="171"/>
  <c r="G60" i="171"/>
  <c r="F60" i="171"/>
  <c r="E60" i="171"/>
  <c r="D60" i="171"/>
  <c r="J59" i="171"/>
  <c r="I59" i="171"/>
  <c r="H59" i="171"/>
  <c r="G59" i="171"/>
  <c r="F59" i="171"/>
  <c r="E59" i="171"/>
  <c r="D59" i="171"/>
  <c r="J58" i="171"/>
  <c r="I58" i="171"/>
  <c r="H58" i="171"/>
  <c r="G58" i="171"/>
  <c r="F58" i="171"/>
  <c r="E58" i="171"/>
  <c r="D58" i="171"/>
  <c r="J54" i="171"/>
  <c r="H54" i="171"/>
  <c r="F54" i="171"/>
  <c r="J52" i="171"/>
  <c r="I52" i="171"/>
  <c r="H52" i="171"/>
  <c r="G52" i="171"/>
  <c r="F52" i="171"/>
  <c r="E52" i="171"/>
  <c r="D52" i="171"/>
  <c r="J39" i="171"/>
  <c r="I39" i="171"/>
  <c r="H39" i="171"/>
  <c r="G39" i="171"/>
  <c r="F39" i="171"/>
  <c r="E39" i="171"/>
  <c r="D39" i="171"/>
  <c r="J38" i="171"/>
  <c r="I38" i="171"/>
  <c r="H38" i="171"/>
  <c r="G38" i="171"/>
  <c r="F38" i="171"/>
  <c r="E38" i="171"/>
  <c r="D38" i="171"/>
  <c r="J37" i="171"/>
  <c r="I37" i="171"/>
  <c r="H37" i="171"/>
  <c r="G37" i="171"/>
  <c r="F37" i="171"/>
  <c r="E37" i="171"/>
  <c r="D37" i="171"/>
  <c r="J33" i="171"/>
  <c r="H33" i="171"/>
  <c r="F33" i="171"/>
  <c r="J31" i="171"/>
  <c r="I31" i="171"/>
  <c r="H31" i="171"/>
  <c r="G31" i="171"/>
  <c r="F31" i="171"/>
  <c r="E31" i="171"/>
  <c r="D31" i="171"/>
  <c r="F10" i="171"/>
  <c r="G10" i="171"/>
  <c r="H10" i="171"/>
  <c r="I10" i="171"/>
  <c r="J10" i="171"/>
  <c r="F12" i="171"/>
  <c r="H12" i="171"/>
  <c r="J12" i="171"/>
  <c r="F16" i="171"/>
  <c r="G16" i="171"/>
  <c r="H16" i="171"/>
  <c r="I16" i="171"/>
  <c r="J16" i="171"/>
  <c r="F17" i="171"/>
  <c r="G17" i="171"/>
  <c r="H17" i="171"/>
  <c r="I17" i="171"/>
  <c r="J17" i="171"/>
  <c r="F18" i="171"/>
  <c r="G18" i="171"/>
  <c r="H18" i="171"/>
  <c r="I18" i="171"/>
  <c r="J18" i="171"/>
  <c r="E10" i="171"/>
  <c r="E16" i="171"/>
  <c r="E17" i="171"/>
  <c r="E18" i="171"/>
  <c r="D10" i="171"/>
  <c r="D16" i="171"/>
  <c r="D17" i="171"/>
  <c r="D18" i="171"/>
  <c r="G7" i="168" l="1"/>
  <c r="G8" i="168"/>
  <c r="G9" i="168"/>
  <c r="G10" i="168"/>
  <c r="G11" i="168"/>
  <c r="G13" i="168"/>
  <c r="G14" i="168"/>
  <c r="G6" i="168"/>
  <c r="F39" i="170" l="1"/>
  <c r="N39" i="170" s="1"/>
  <c r="F38" i="170"/>
  <c r="N38" i="170" s="1"/>
  <c r="F37" i="170"/>
  <c r="J37" i="170" s="1"/>
  <c r="F36" i="170"/>
  <c r="J36" i="170" s="1"/>
  <c r="F35" i="170"/>
  <c r="H35" i="170" s="1"/>
  <c r="F34" i="170"/>
  <c r="N34" i="170" s="1"/>
  <c r="F33" i="170"/>
  <c r="J33" i="170" s="1"/>
  <c r="F32" i="170"/>
  <c r="N32" i="170" s="1"/>
  <c r="F31" i="170"/>
  <c r="N31" i="170" s="1"/>
  <c r="F30" i="170"/>
  <c r="N30" i="170" s="1"/>
  <c r="F29" i="170"/>
  <c r="J29" i="170" s="1"/>
  <c r="F28" i="170"/>
  <c r="H28" i="170" s="1"/>
  <c r="F27" i="170"/>
  <c r="J27" i="170" s="1"/>
  <c r="F26" i="170"/>
  <c r="N26" i="170" s="1"/>
  <c r="F25" i="170"/>
  <c r="J25" i="170" s="1"/>
  <c r="F24" i="170"/>
  <c r="N24" i="170" s="1"/>
  <c r="F23" i="170"/>
  <c r="N23" i="170" s="1"/>
  <c r="F22" i="170"/>
  <c r="N22" i="170" s="1"/>
  <c r="R22" i="170" s="1"/>
  <c r="T22" i="170" s="1"/>
  <c r="F21" i="170"/>
  <c r="H21" i="170" s="1"/>
  <c r="F20" i="170"/>
  <c r="H20" i="170" s="1"/>
  <c r="H11" i="170"/>
  <c r="C11" i="170"/>
  <c r="D10" i="170"/>
  <c r="C10" i="170"/>
  <c r="J26" i="170" l="1"/>
  <c r="H34" i="170"/>
  <c r="J34" i="170"/>
  <c r="H29" i="170"/>
  <c r="L29" i="170" s="1"/>
  <c r="N27" i="170"/>
  <c r="R27" i="170" s="1"/>
  <c r="T27" i="170" s="1"/>
  <c r="J21" i="170"/>
  <c r="L21" i="170" s="1"/>
  <c r="N35" i="170"/>
  <c r="R35" i="170" s="1"/>
  <c r="T35" i="170" s="1"/>
  <c r="J28" i="170"/>
  <c r="L28" i="170" s="1"/>
  <c r="N21" i="170"/>
  <c r="R21" i="170" s="1"/>
  <c r="H26" i="170"/>
  <c r="N28" i="170"/>
  <c r="R28" i="170" s="1"/>
  <c r="T28" i="170" s="1"/>
  <c r="N36" i="170"/>
  <c r="R36" i="170" s="1"/>
  <c r="N29" i="170"/>
  <c r="R29" i="170" s="1"/>
  <c r="T29" i="170" s="1"/>
  <c r="J35" i="170"/>
  <c r="L35" i="170" s="1"/>
  <c r="J20" i="170"/>
  <c r="L20" i="170" s="1"/>
  <c r="N37" i="170"/>
  <c r="R37" i="170" s="1"/>
  <c r="T37" i="170" s="1"/>
  <c r="N20" i="170"/>
  <c r="R20" i="170" s="1"/>
  <c r="T20" i="170" s="1"/>
  <c r="H27" i="170"/>
  <c r="L27" i="170" s="1"/>
  <c r="R32" i="170"/>
  <c r="T32" i="170" s="1"/>
  <c r="R26" i="170"/>
  <c r="T26" i="170" s="1"/>
  <c r="R34" i="170"/>
  <c r="T34" i="170" s="1"/>
  <c r="R24" i="170"/>
  <c r="T24" i="170" s="1"/>
  <c r="R31" i="170"/>
  <c r="T31" i="170" s="1"/>
  <c r="R38" i="170"/>
  <c r="T38" i="170" s="1"/>
  <c r="R23" i="170"/>
  <c r="T23" i="170" s="1"/>
  <c r="R30" i="170"/>
  <c r="T30" i="170" s="1"/>
  <c r="R39" i="170"/>
  <c r="T39" i="170" s="1"/>
  <c r="J24" i="170"/>
  <c r="H31" i="170"/>
  <c r="J32" i="170"/>
  <c r="H39" i="170"/>
  <c r="H25" i="170"/>
  <c r="L25" i="170" s="1"/>
  <c r="H24" i="170"/>
  <c r="H32" i="170"/>
  <c r="H23" i="170"/>
  <c r="H22" i="170"/>
  <c r="J23" i="170"/>
  <c r="N25" i="170"/>
  <c r="H30" i="170"/>
  <c r="J31" i="170"/>
  <c r="N33" i="170"/>
  <c r="H38" i="170"/>
  <c r="J39" i="170"/>
  <c r="J30" i="170"/>
  <c r="H37" i="170"/>
  <c r="L37" i="170" s="1"/>
  <c r="J38" i="170"/>
  <c r="H33" i="170"/>
  <c r="L33" i="170" s="1"/>
  <c r="J22" i="170"/>
  <c r="H36" i="170"/>
  <c r="L36" i="170" s="1"/>
  <c r="T21" i="170" l="1"/>
  <c r="L26" i="170"/>
  <c r="L31" i="170"/>
  <c r="L32" i="170"/>
  <c r="L39" i="170"/>
  <c r="T36" i="170"/>
  <c r="L22" i="170"/>
  <c r="L34" i="170"/>
  <c r="L30" i="170"/>
  <c r="L23" i="170"/>
  <c r="L38" i="170"/>
  <c r="L24" i="170"/>
  <c r="R25" i="170"/>
  <c r="T25" i="170" s="1"/>
  <c r="R33" i="170"/>
  <c r="T33" i="170" s="1"/>
  <c r="E8" i="168" l="1"/>
  <c r="E7" i="168"/>
  <c r="E14" i="168"/>
  <c r="E6" i="168"/>
  <c r="E13" i="168"/>
  <c r="E11" i="168"/>
  <c r="E12" i="168"/>
  <c r="E10" i="168"/>
  <c r="E9" i="168"/>
  <c r="D47" i="58"/>
  <c r="D46" i="58"/>
  <c r="D43" i="58"/>
  <c r="D42" i="58"/>
  <c r="E27" i="58"/>
  <c r="E26" i="58"/>
  <c r="E23" i="58"/>
  <c r="E22" i="58"/>
  <c r="E12" i="58"/>
  <c r="E11" i="58"/>
  <c r="E8" i="58"/>
  <c r="E7" i="58"/>
  <c r="H12" i="168" l="1"/>
  <c r="I100" i="171" s="1"/>
  <c r="B56" i="90"/>
  <c r="D53" i="90"/>
  <c r="D52" i="90"/>
  <c r="D51" i="90"/>
  <c r="D50" i="90"/>
  <c r="D49" i="90"/>
  <c r="D48" i="90"/>
  <c r="D47" i="90"/>
  <c r="G42" i="90"/>
  <c r="G41" i="90"/>
  <c r="G39" i="90"/>
  <c r="G38" i="90"/>
  <c r="G28" i="90"/>
  <c r="G27" i="90"/>
  <c r="G24" i="90"/>
  <c r="G23" i="90"/>
  <c r="B18" i="90" l="1"/>
  <c r="B14" i="90"/>
  <c r="B13" i="90"/>
  <c r="B12" i="90"/>
  <c r="B9" i="90"/>
  <c r="B8" i="90"/>
  <c r="E21" i="173" l="1"/>
  <c r="E20" i="173"/>
  <c r="E19" i="173"/>
  <c r="E18" i="173"/>
  <c r="E17" i="173"/>
  <c r="E16" i="173"/>
  <c r="E15" i="173"/>
  <c r="E14" i="173"/>
  <c r="E13" i="173"/>
  <c r="E12" i="173"/>
  <c r="E11" i="173"/>
  <c r="E10" i="173"/>
  <c r="E9" i="173"/>
  <c r="E8" i="173"/>
  <c r="E7" i="173"/>
  <c r="E6" i="173"/>
  <c r="E5" i="173"/>
  <c r="K15" i="149" l="1"/>
  <c r="E58" i="173" l="1"/>
  <c r="E57" i="173"/>
  <c r="E56" i="173"/>
  <c r="E55" i="173"/>
  <c r="E54" i="173"/>
  <c r="E53" i="173"/>
  <c r="E52" i="173"/>
  <c r="E51" i="173"/>
  <c r="E50" i="173"/>
  <c r="E49" i="173"/>
  <c r="E48" i="173"/>
  <c r="E47" i="173"/>
  <c r="E46" i="173"/>
  <c r="E45" i="173"/>
  <c r="E44" i="173"/>
  <c r="E43" i="173"/>
  <c r="E42" i="173"/>
  <c r="S74" i="173"/>
  <c r="R74" i="173"/>
  <c r="Q74" i="173"/>
  <c r="P74" i="173"/>
  <c r="O74" i="173"/>
  <c r="K74" i="173"/>
  <c r="N72" i="173"/>
  <c r="J72" i="173"/>
  <c r="N70" i="173"/>
  <c r="J70" i="173"/>
  <c r="N68" i="173"/>
  <c r="J68" i="173"/>
  <c r="N66" i="173"/>
  <c r="J66" i="173"/>
  <c r="N64" i="173"/>
  <c r="J64" i="173"/>
  <c r="N62" i="173"/>
  <c r="J62" i="173"/>
  <c r="N61" i="173"/>
  <c r="J61" i="173"/>
  <c r="N59" i="173"/>
  <c r="J59" i="173"/>
  <c r="N57" i="173"/>
  <c r="J57" i="173"/>
  <c r="N55" i="173"/>
  <c r="J55" i="173"/>
  <c r="N53" i="173"/>
  <c r="J53" i="173"/>
  <c r="N51" i="173"/>
  <c r="J51" i="173"/>
  <c r="N49" i="173"/>
  <c r="J49" i="173"/>
  <c r="N48" i="173"/>
  <c r="J48" i="173"/>
  <c r="N46" i="173"/>
  <c r="J46" i="173"/>
  <c r="N44" i="173"/>
  <c r="J44" i="173"/>
  <c r="N42" i="173"/>
  <c r="J42" i="173"/>
  <c r="R49" i="172"/>
  <c r="R50" i="172" s="1"/>
  <c r="P49" i="172"/>
  <c r="P50" i="172" s="1"/>
  <c r="L49" i="172"/>
  <c r="L50" i="172" s="1"/>
  <c r="J49" i="172"/>
  <c r="H49" i="172"/>
  <c r="H50" i="172" s="1"/>
  <c r="F49" i="172"/>
  <c r="F50" i="172" s="1"/>
  <c r="S47" i="172"/>
  <c r="Q47" i="172"/>
  <c r="O47" i="172"/>
  <c r="M47" i="172"/>
  <c r="K47" i="172"/>
  <c r="I47" i="172"/>
  <c r="G47" i="172"/>
  <c r="S46" i="172"/>
  <c r="Q46" i="172"/>
  <c r="O46" i="172"/>
  <c r="M46" i="172"/>
  <c r="K46" i="172"/>
  <c r="I46" i="172"/>
  <c r="G46" i="172"/>
  <c r="S45" i="172"/>
  <c r="Q45" i="172"/>
  <c r="O45" i="172"/>
  <c r="M45" i="172"/>
  <c r="K45" i="172"/>
  <c r="I45" i="172"/>
  <c r="G45" i="172"/>
  <c r="S44" i="172"/>
  <c r="Q44" i="172"/>
  <c r="O44" i="172"/>
  <c r="M44" i="172"/>
  <c r="K44" i="172"/>
  <c r="I44" i="172"/>
  <c r="G44" i="172"/>
  <c r="U43" i="172"/>
  <c r="E43" i="172"/>
  <c r="U42" i="172"/>
  <c r="E42" i="172"/>
  <c r="U41" i="172"/>
  <c r="E41" i="172"/>
  <c r="S40" i="172"/>
  <c r="Q40" i="172"/>
  <c r="N40" i="172"/>
  <c r="O40" i="172" s="1"/>
  <c r="M40" i="172"/>
  <c r="K40" i="172"/>
  <c r="I40" i="172"/>
  <c r="G40" i="172"/>
  <c r="S39" i="172"/>
  <c r="Q39" i="172"/>
  <c r="O39" i="172"/>
  <c r="M39" i="172"/>
  <c r="K39" i="172"/>
  <c r="I39" i="172"/>
  <c r="G39" i="172"/>
  <c r="S38" i="172"/>
  <c r="Q38" i="172"/>
  <c r="O38" i="172"/>
  <c r="M38" i="172"/>
  <c r="U38" i="172" s="1"/>
  <c r="K38" i="172"/>
  <c r="I38" i="172"/>
  <c r="G38" i="172"/>
  <c r="S37" i="172"/>
  <c r="Q37" i="172"/>
  <c r="O37" i="172"/>
  <c r="M37" i="172"/>
  <c r="K37" i="172"/>
  <c r="I37" i="172"/>
  <c r="G37" i="172"/>
  <c r="S36" i="172"/>
  <c r="Q36" i="172"/>
  <c r="O36" i="172"/>
  <c r="M36" i="172"/>
  <c r="K36" i="172"/>
  <c r="I36" i="172"/>
  <c r="G36" i="172"/>
  <c r="U35" i="172"/>
  <c r="E35" i="172"/>
  <c r="E49" i="172" s="1"/>
  <c r="S34" i="172"/>
  <c r="Q34" i="172"/>
  <c r="O34" i="172"/>
  <c r="M34" i="172"/>
  <c r="K34" i="172"/>
  <c r="I34" i="172"/>
  <c r="I49" i="172" s="1"/>
  <c r="G34" i="172"/>
  <c r="S33" i="172"/>
  <c r="Q33" i="172"/>
  <c r="O33" i="172"/>
  <c r="M33" i="172"/>
  <c r="K33" i="172"/>
  <c r="I33" i="172"/>
  <c r="G33" i="172"/>
  <c r="S32" i="172"/>
  <c r="S49" i="172" s="1"/>
  <c r="Q32" i="172"/>
  <c r="O32" i="172"/>
  <c r="M32" i="172"/>
  <c r="K32" i="172"/>
  <c r="I32" i="172"/>
  <c r="G32" i="172"/>
  <c r="S31" i="172"/>
  <c r="Q31" i="172"/>
  <c r="O31" i="172"/>
  <c r="M31" i="172"/>
  <c r="M49" i="172" s="1"/>
  <c r="K31" i="172"/>
  <c r="I31" i="172"/>
  <c r="G31" i="172"/>
  <c r="E10" i="161"/>
  <c r="E13" i="167"/>
  <c r="K4" i="142"/>
  <c r="K5" i="142"/>
  <c r="H22" i="142"/>
  <c r="I22" i="142"/>
  <c r="J22" i="142"/>
  <c r="H24" i="142"/>
  <c r="I24" i="142"/>
  <c r="J24" i="142"/>
  <c r="H26" i="142"/>
  <c r="I26" i="142"/>
  <c r="H28" i="142"/>
  <c r="I28" i="142"/>
  <c r="K37" i="142"/>
  <c r="D27" i="166"/>
  <c r="J74" i="173" l="1"/>
  <c r="N74" i="173"/>
  <c r="O49" i="172"/>
  <c r="K49" i="172"/>
  <c r="Q49" i="172"/>
  <c r="U39" i="172"/>
  <c r="U44" i="172"/>
  <c r="U31" i="172"/>
  <c r="G49" i="172"/>
  <c r="U37" i="172"/>
  <c r="U47" i="172"/>
  <c r="U36" i="172"/>
  <c r="U33" i="172"/>
  <c r="U45" i="172"/>
  <c r="U46" i="172"/>
  <c r="U40" i="172"/>
  <c r="U32" i="172"/>
  <c r="N49" i="172"/>
  <c r="N50" i="172" s="1"/>
  <c r="U34" i="172"/>
  <c r="G161" i="163"/>
  <c r="H161" i="163"/>
  <c r="I161" i="163"/>
  <c r="J161" i="163"/>
  <c r="K161" i="163"/>
  <c r="F161" i="163"/>
  <c r="G152" i="163"/>
  <c r="H152" i="163"/>
  <c r="I152" i="163"/>
  <c r="J152" i="163"/>
  <c r="K152" i="163"/>
  <c r="F152" i="163"/>
  <c r="G143" i="163"/>
  <c r="H143" i="163"/>
  <c r="I143" i="163"/>
  <c r="J143" i="163"/>
  <c r="K143" i="163"/>
  <c r="F143" i="163"/>
  <c r="G134" i="163"/>
  <c r="H134" i="163"/>
  <c r="I134" i="163"/>
  <c r="J134" i="163"/>
  <c r="K134" i="163"/>
  <c r="F134" i="163"/>
  <c r="G125" i="163"/>
  <c r="H125" i="163"/>
  <c r="I125" i="163"/>
  <c r="J125" i="163"/>
  <c r="K125" i="163"/>
  <c r="F125" i="163"/>
  <c r="G116" i="163"/>
  <c r="H116" i="163"/>
  <c r="H118" i="163" s="1"/>
  <c r="I116" i="163"/>
  <c r="J116" i="163"/>
  <c r="K116" i="163"/>
  <c r="F116" i="163"/>
  <c r="G107" i="163"/>
  <c r="H107" i="163"/>
  <c r="I107" i="163"/>
  <c r="J107" i="163"/>
  <c r="K107" i="163"/>
  <c r="F107" i="163"/>
  <c r="G98" i="163"/>
  <c r="H98" i="163"/>
  <c r="I98" i="163"/>
  <c r="J98" i="163"/>
  <c r="K98" i="163"/>
  <c r="K100" i="163" s="1"/>
  <c r="F98" i="163"/>
  <c r="G89" i="163"/>
  <c r="H89" i="163"/>
  <c r="I89" i="163"/>
  <c r="J89" i="163"/>
  <c r="K89" i="163"/>
  <c r="F89" i="163"/>
  <c r="G80" i="163"/>
  <c r="H80" i="163"/>
  <c r="I80" i="163"/>
  <c r="J80" i="163"/>
  <c r="K80" i="163"/>
  <c r="F80" i="163"/>
  <c r="G71" i="163"/>
  <c r="H71" i="163"/>
  <c r="I71" i="163"/>
  <c r="J71" i="163"/>
  <c r="K71" i="163"/>
  <c r="F71" i="163"/>
  <c r="G62" i="163"/>
  <c r="H62" i="163"/>
  <c r="I62" i="163"/>
  <c r="J62" i="163"/>
  <c r="K62" i="163"/>
  <c r="F62" i="163"/>
  <c r="G53" i="163"/>
  <c r="H53" i="163"/>
  <c r="I53" i="163"/>
  <c r="J53" i="163"/>
  <c r="K53" i="163"/>
  <c r="F53" i="163"/>
  <c r="G44" i="163"/>
  <c r="H44" i="163"/>
  <c r="I44" i="163"/>
  <c r="J44" i="163"/>
  <c r="K44" i="163"/>
  <c r="F44" i="163"/>
  <c r="G26" i="163"/>
  <c r="H26" i="163"/>
  <c r="I26" i="163"/>
  <c r="J26" i="163"/>
  <c r="K26" i="163"/>
  <c r="F26" i="163"/>
  <c r="G17" i="163"/>
  <c r="H17" i="163"/>
  <c r="I17" i="163"/>
  <c r="J17" i="163"/>
  <c r="K17" i="163"/>
  <c r="F17" i="163"/>
  <c r="G157" i="163"/>
  <c r="H157" i="163"/>
  <c r="I157" i="163"/>
  <c r="J157" i="163"/>
  <c r="K157" i="163"/>
  <c r="F157" i="163"/>
  <c r="G148" i="163"/>
  <c r="H148" i="163"/>
  <c r="I148" i="163"/>
  <c r="J148" i="163"/>
  <c r="K148" i="163"/>
  <c r="F148" i="163"/>
  <c r="G139" i="163"/>
  <c r="H139" i="163"/>
  <c r="I139" i="163"/>
  <c r="J139" i="163"/>
  <c r="K139" i="163"/>
  <c r="F139" i="163"/>
  <c r="G130" i="163"/>
  <c r="H130" i="163"/>
  <c r="I130" i="163"/>
  <c r="J130" i="163"/>
  <c r="K130" i="163"/>
  <c r="F130" i="163"/>
  <c r="G121" i="163"/>
  <c r="H121" i="163"/>
  <c r="I121" i="163"/>
  <c r="J121" i="163"/>
  <c r="K121" i="163"/>
  <c r="F121" i="163"/>
  <c r="G112" i="163"/>
  <c r="E112" i="163" s="1"/>
  <c r="H112" i="163"/>
  <c r="I112" i="163"/>
  <c r="J112" i="163"/>
  <c r="K112" i="163"/>
  <c r="F112" i="163"/>
  <c r="G103" i="163"/>
  <c r="H103" i="163"/>
  <c r="I103" i="163"/>
  <c r="J103" i="163"/>
  <c r="K103" i="163"/>
  <c r="F103" i="163"/>
  <c r="G94" i="163"/>
  <c r="H94" i="163"/>
  <c r="I94" i="163"/>
  <c r="J94" i="163"/>
  <c r="K94" i="163"/>
  <c r="F94" i="163"/>
  <c r="G85" i="163"/>
  <c r="H85" i="163"/>
  <c r="I85" i="163"/>
  <c r="J85" i="163"/>
  <c r="K85" i="163"/>
  <c r="F85" i="163"/>
  <c r="G76" i="163"/>
  <c r="H76" i="163"/>
  <c r="I76" i="163"/>
  <c r="J76" i="163"/>
  <c r="K76" i="163"/>
  <c r="F76" i="163"/>
  <c r="G67" i="163"/>
  <c r="H67" i="163"/>
  <c r="I67" i="163"/>
  <c r="J67" i="163"/>
  <c r="K67" i="163"/>
  <c r="F67" i="163"/>
  <c r="G58" i="163"/>
  <c r="H58" i="163"/>
  <c r="I58" i="163"/>
  <c r="J58" i="163"/>
  <c r="K58" i="163"/>
  <c r="F58" i="163"/>
  <c r="G49" i="163"/>
  <c r="H49" i="163"/>
  <c r="I49" i="163"/>
  <c r="J49" i="163"/>
  <c r="K49" i="163"/>
  <c r="F49" i="163"/>
  <c r="G40" i="163"/>
  <c r="H40" i="163"/>
  <c r="I40" i="163"/>
  <c r="J40" i="163"/>
  <c r="K40" i="163"/>
  <c r="E40" i="163" s="1"/>
  <c r="F40" i="163"/>
  <c r="G22" i="163"/>
  <c r="H22" i="163"/>
  <c r="I22" i="163"/>
  <c r="J22" i="163"/>
  <c r="K22" i="163"/>
  <c r="F22" i="163"/>
  <c r="G13" i="163"/>
  <c r="H13" i="163"/>
  <c r="I13" i="163"/>
  <c r="J13" i="163"/>
  <c r="K13" i="163"/>
  <c r="F13" i="163"/>
  <c r="H4" i="163"/>
  <c r="I4" i="163"/>
  <c r="J4" i="163"/>
  <c r="K4" i="163"/>
  <c r="F4" i="163"/>
  <c r="G4" i="163"/>
  <c r="R23" i="172"/>
  <c r="R24" i="172" s="1"/>
  <c r="P23" i="172"/>
  <c r="P24" i="172" s="1"/>
  <c r="L23" i="172"/>
  <c r="L24" i="172" s="1"/>
  <c r="J23" i="172"/>
  <c r="H23" i="172"/>
  <c r="H24" i="172" s="1"/>
  <c r="F23" i="172"/>
  <c r="F24" i="172" s="1"/>
  <c r="S21" i="172"/>
  <c r="Q21" i="172"/>
  <c r="O21" i="172"/>
  <c r="M21" i="172"/>
  <c r="K21" i="172"/>
  <c r="I21" i="172"/>
  <c r="G21" i="172"/>
  <c r="S20" i="172"/>
  <c r="Q20" i="172"/>
  <c r="Q69" i="172" s="1"/>
  <c r="O20" i="172"/>
  <c r="M20" i="172"/>
  <c r="K20" i="172"/>
  <c r="I20" i="172"/>
  <c r="I69" i="172" s="1"/>
  <c r="G20" i="172"/>
  <c r="S19" i="172"/>
  <c r="Q19" i="172"/>
  <c r="O19" i="172"/>
  <c r="M19" i="172"/>
  <c r="K19" i="172"/>
  <c r="I19" i="172"/>
  <c r="G19" i="172"/>
  <c r="S18" i="172"/>
  <c r="Q18" i="172"/>
  <c r="O18" i="172"/>
  <c r="M18" i="172"/>
  <c r="K18" i="172"/>
  <c r="I18" i="172"/>
  <c r="G18" i="172"/>
  <c r="U17" i="172"/>
  <c r="E17" i="172"/>
  <c r="U16" i="172"/>
  <c r="E16" i="172"/>
  <c r="U15" i="172"/>
  <c r="E15" i="172"/>
  <c r="S14" i="172"/>
  <c r="Q14" i="172"/>
  <c r="O14" i="172"/>
  <c r="N14" i="172"/>
  <c r="N23" i="172" s="1"/>
  <c r="N24" i="172" s="1"/>
  <c r="M14" i="172"/>
  <c r="K14" i="172"/>
  <c r="I14" i="172"/>
  <c r="G14" i="172"/>
  <c r="S13" i="172"/>
  <c r="Q13" i="172"/>
  <c r="O13" i="172"/>
  <c r="M13" i="172"/>
  <c r="K13" i="172"/>
  <c r="I13" i="172"/>
  <c r="G13" i="172"/>
  <c r="S12" i="172"/>
  <c r="Q12" i="172"/>
  <c r="O12" i="172"/>
  <c r="M12" i="172"/>
  <c r="K12" i="172"/>
  <c r="I12" i="172"/>
  <c r="G12" i="172"/>
  <c r="S11" i="172"/>
  <c r="Q11" i="172"/>
  <c r="O11" i="172"/>
  <c r="M11" i="172"/>
  <c r="K11" i="172"/>
  <c r="I11" i="172"/>
  <c r="G11" i="172"/>
  <c r="S10" i="172"/>
  <c r="Q10" i="172"/>
  <c r="O10" i="172"/>
  <c r="M10" i="172"/>
  <c r="K10" i="172"/>
  <c r="I10" i="172"/>
  <c r="G10" i="172"/>
  <c r="U9" i="172"/>
  <c r="E9" i="172"/>
  <c r="S8" i="172"/>
  <c r="Q8" i="172"/>
  <c r="O8" i="172"/>
  <c r="M8" i="172"/>
  <c r="K8" i="172"/>
  <c r="I8" i="172"/>
  <c r="G8" i="172"/>
  <c r="S7" i="172"/>
  <c r="Q7" i="172"/>
  <c r="O7" i="172"/>
  <c r="M7" i="172"/>
  <c r="K7" i="172"/>
  <c r="I7" i="172"/>
  <c r="G7" i="172"/>
  <c r="S6" i="172"/>
  <c r="Q6" i="172"/>
  <c r="O6" i="172"/>
  <c r="M6" i="172"/>
  <c r="K6" i="172"/>
  <c r="I6" i="172"/>
  <c r="G6" i="172"/>
  <c r="S5" i="172"/>
  <c r="Q5" i="172"/>
  <c r="O5" i="172"/>
  <c r="M5" i="172"/>
  <c r="K5" i="172"/>
  <c r="I5" i="172"/>
  <c r="I163" i="171"/>
  <c r="T145" i="171"/>
  <c r="T144" i="171"/>
  <c r="T143" i="171"/>
  <c r="T142" i="171"/>
  <c r="T141" i="171"/>
  <c r="T140" i="171"/>
  <c r="T139" i="171"/>
  <c r="T138" i="171"/>
  <c r="T137" i="171"/>
  <c r="T136" i="171"/>
  <c r="T135" i="171"/>
  <c r="T134" i="171"/>
  <c r="T133" i="171"/>
  <c r="T132" i="171"/>
  <c r="T131" i="171"/>
  <c r="T130" i="171"/>
  <c r="T129" i="171"/>
  <c r="T128" i="171"/>
  <c r="AA122" i="171"/>
  <c r="Z122" i="171"/>
  <c r="S120" i="171"/>
  <c r="L20" i="162" s="1"/>
  <c r="O120" i="171"/>
  <c r="P120" i="171" s="1"/>
  <c r="N120" i="171"/>
  <c r="L120" i="171"/>
  <c r="K120" i="171"/>
  <c r="M120" i="171" s="1"/>
  <c r="S119" i="171"/>
  <c r="L19" i="162" s="1"/>
  <c r="X20" i="172" s="1"/>
  <c r="O119" i="171"/>
  <c r="N119" i="171"/>
  <c r="L119" i="171"/>
  <c r="K119" i="171"/>
  <c r="S118" i="171"/>
  <c r="L18" i="162" s="1"/>
  <c r="O118" i="171"/>
  <c r="N118" i="171"/>
  <c r="M118" i="171"/>
  <c r="L118" i="171"/>
  <c r="K118" i="171"/>
  <c r="S117" i="171"/>
  <c r="L17" i="162" s="1"/>
  <c r="X18" i="172" s="1"/>
  <c r="O117" i="171"/>
  <c r="N117" i="171"/>
  <c r="P117" i="171" s="1"/>
  <c r="L117" i="171"/>
  <c r="K117" i="171"/>
  <c r="S116" i="171"/>
  <c r="L16" i="162" s="1"/>
  <c r="X17" i="172" s="1"/>
  <c r="O116" i="171"/>
  <c r="P116" i="171" s="1"/>
  <c r="N116" i="171"/>
  <c r="L116" i="171"/>
  <c r="K116" i="171"/>
  <c r="S115" i="171"/>
  <c r="L15" i="162" s="1"/>
  <c r="X16" i="172" s="1"/>
  <c r="O115" i="171"/>
  <c r="N115" i="171"/>
  <c r="L115" i="171"/>
  <c r="K115" i="171"/>
  <c r="M115" i="171" s="1"/>
  <c r="S114" i="171"/>
  <c r="L14" i="162" s="1"/>
  <c r="X15" i="172" s="1"/>
  <c r="O114" i="171"/>
  <c r="N114" i="171"/>
  <c r="L114" i="171"/>
  <c r="M114" i="171" s="1"/>
  <c r="K114" i="171"/>
  <c r="O113" i="171"/>
  <c r="N113" i="171"/>
  <c r="P113" i="171" s="1"/>
  <c r="L113" i="171"/>
  <c r="K113" i="171"/>
  <c r="M113" i="171" s="1"/>
  <c r="Q113" i="171" s="1"/>
  <c r="S112" i="171"/>
  <c r="L12" i="162" s="1"/>
  <c r="X13" i="172" s="1"/>
  <c r="O112" i="171"/>
  <c r="N112" i="171"/>
  <c r="P112" i="171" s="1"/>
  <c r="M112" i="171"/>
  <c r="L112" i="171"/>
  <c r="K112" i="171"/>
  <c r="S111" i="171"/>
  <c r="L11" i="162" s="1"/>
  <c r="X12" i="172" s="1"/>
  <c r="O111" i="171"/>
  <c r="N111" i="171"/>
  <c r="L111" i="171"/>
  <c r="K111" i="171"/>
  <c r="S110" i="171"/>
  <c r="L10" i="162" s="1"/>
  <c r="O110" i="171"/>
  <c r="N110" i="171"/>
  <c r="L110" i="171"/>
  <c r="K110" i="171"/>
  <c r="S109" i="171"/>
  <c r="L9" i="162" s="1"/>
  <c r="X10" i="172" s="1"/>
  <c r="O109" i="171"/>
  <c r="N109" i="171"/>
  <c r="P109" i="171" s="1"/>
  <c r="Q109" i="171" s="1"/>
  <c r="L109" i="171"/>
  <c r="K109" i="171"/>
  <c r="M109" i="171" s="1"/>
  <c r="S108" i="171"/>
  <c r="L8" i="162" s="1"/>
  <c r="X9" i="172" s="1"/>
  <c r="O108" i="171"/>
  <c r="N108" i="171"/>
  <c r="L108" i="171"/>
  <c r="K108" i="171"/>
  <c r="S107" i="171"/>
  <c r="L7" i="162" s="1"/>
  <c r="X8" i="172" s="1"/>
  <c r="O107" i="171"/>
  <c r="N107" i="171"/>
  <c r="P107" i="171" s="1"/>
  <c r="L107" i="171"/>
  <c r="K107" i="171"/>
  <c r="M107" i="171" s="1"/>
  <c r="S106" i="171"/>
  <c r="O106" i="171"/>
  <c r="N106" i="171"/>
  <c r="L106" i="171"/>
  <c r="K106" i="171"/>
  <c r="M106" i="171" s="1"/>
  <c r="S105" i="171"/>
  <c r="L5" i="162" s="1"/>
  <c r="X6" i="172" s="1"/>
  <c r="O105" i="171"/>
  <c r="N105" i="171"/>
  <c r="M105" i="171"/>
  <c r="L105" i="171"/>
  <c r="K105" i="171"/>
  <c r="L4" i="162"/>
  <c r="O104" i="171"/>
  <c r="N104" i="171"/>
  <c r="L104" i="171"/>
  <c r="K104" i="171"/>
  <c r="O103" i="171"/>
  <c r="N103" i="171"/>
  <c r="L103" i="171"/>
  <c r="K103" i="171"/>
  <c r="H103" i="171"/>
  <c r="G103" i="171"/>
  <c r="E103" i="171"/>
  <c r="D103" i="171"/>
  <c r="O85" i="171"/>
  <c r="O84" i="171"/>
  <c r="O83" i="171"/>
  <c r="O82" i="171"/>
  <c r="O81" i="171"/>
  <c r="J163" i="171"/>
  <c r="H163" i="171"/>
  <c r="G163" i="171"/>
  <c r="F163" i="171"/>
  <c r="E163" i="171"/>
  <c r="O80" i="171"/>
  <c r="J162" i="171"/>
  <c r="I162" i="171"/>
  <c r="H162" i="171"/>
  <c r="G162" i="171"/>
  <c r="F162" i="171"/>
  <c r="E162" i="171"/>
  <c r="D162" i="171"/>
  <c r="O79" i="171"/>
  <c r="R79" i="171"/>
  <c r="I161" i="171"/>
  <c r="H161" i="171"/>
  <c r="G161" i="171"/>
  <c r="F161" i="171"/>
  <c r="E161" i="171"/>
  <c r="O78" i="171"/>
  <c r="O77" i="171"/>
  <c r="O76" i="171"/>
  <c r="R75" i="171"/>
  <c r="O75" i="171"/>
  <c r="J157" i="171"/>
  <c r="H157" i="171"/>
  <c r="F157" i="171"/>
  <c r="O74" i="171"/>
  <c r="O73" i="171"/>
  <c r="J155" i="171"/>
  <c r="I155" i="171"/>
  <c r="H155" i="171"/>
  <c r="G155" i="171"/>
  <c r="F155" i="171"/>
  <c r="E155" i="171"/>
  <c r="O72" i="171"/>
  <c r="O71" i="171"/>
  <c r="G12" i="58" s="1"/>
  <c r="O70" i="171"/>
  <c r="O69" i="171"/>
  <c r="O64" i="171"/>
  <c r="O63" i="171"/>
  <c r="O62" i="171"/>
  <c r="O61" i="171"/>
  <c r="R60" i="171"/>
  <c r="O60" i="171"/>
  <c r="O59" i="171"/>
  <c r="R59" i="171"/>
  <c r="O58" i="171"/>
  <c r="R58" i="171"/>
  <c r="O57" i="171"/>
  <c r="O56" i="171"/>
  <c r="O55" i="171"/>
  <c r="O54" i="171"/>
  <c r="R54" i="171"/>
  <c r="O53" i="171"/>
  <c r="R52" i="171"/>
  <c r="O52" i="171"/>
  <c r="O51" i="171"/>
  <c r="O50" i="171"/>
  <c r="G8" i="58" s="1"/>
  <c r="O49" i="171"/>
  <c r="O48" i="171"/>
  <c r="O43" i="171"/>
  <c r="W120" i="171" s="1"/>
  <c r="O42" i="171"/>
  <c r="W119" i="171" s="1"/>
  <c r="O41" i="171"/>
  <c r="W118" i="171" s="1"/>
  <c r="O40" i="171"/>
  <c r="R39" i="171"/>
  <c r="O39" i="171"/>
  <c r="W116" i="171" s="1"/>
  <c r="R38" i="171"/>
  <c r="O38" i="171"/>
  <c r="O37" i="171"/>
  <c r="W114" i="171" s="1"/>
  <c r="R37" i="171"/>
  <c r="O36" i="171"/>
  <c r="O35" i="171"/>
  <c r="W112" i="171" s="1"/>
  <c r="O34" i="171"/>
  <c r="W111" i="171" s="1"/>
  <c r="O33" i="171"/>
  <c r="R33" i="171"/>
  <c r="O32" i="171"/>
  <c r="W109" i="171" s="1"/>
  <c r="O31" i="171"/>
  <c r="W108" i="171" s="1"/>
  <c r="R31" i="171"/>
  <c r="O30" i="171"/>
  <c r="W107" i="171" s="1"/>
  <c r="O29" i="171"/>
  <c r="O28" i="171"/>
  <c r="W105" i="171" s="1"/>
  <c r="O27" i="171"/>
  <c r="O22" i="171"/>
  <c r="O21" i="171"/>
  <c r="V119" i="171" s="1"/>
  <c r="O20" i="171"/>
  <c r="O19" i="171"/>
  <c r="O18" i="171"/>
  <c r="R18" i="171"/>
  <c r="O17" i="171"/>
  <c r="V115" i="171" s="1"/>
  <c r="R17" i="171"/>
  <c r="R16" i="171"/>
  <c r="O16" i="171"/>
  <c r="V114" i="171" s="1"/>
  <c r="S113" i="171"/>
  <c r="L13" i="162" s="1"/>
  <c r="X14" i="172" s="1"/>
  <c r="O14" i="171"/>
  <c r="O13" i="171"/>
  <c r="R12" i="171"/>
  <c r="O12" i="171"/>
  <c r="V110" i="171" s="1"/>
  <c r="O11" i="171"/>
  <c r="R10" i="171"/>
  <c r="O10" i="171"/>
  <c r="O9" i="171"/>
  <c r="O8" i="171"/>
  <c r="G7" i="58" s="1"/>
  <c r="O7" i="171"/>
  <c r="M34" i="169"/>
  <c r="P34" i="169" s="1"/>
  <c r="R34" i="169" s="1"/>
  <c r="I34" i="169"/>
  <c r="G34" i="169"/>
  <c r="K34" i="169" s="1"/>
  <c r="P33" i="169"/>
  <c r="M33" i="169"/>
  <c r="G33" i="169" s="1"/>
  <c r="K33" i="169" s="1"/>
  <c r="I33" i="169"/>
  <c r="P32" i="169"/>
  <c r="R32" i="169" s="1"/>
  <c r="M32" i="169"/>
  <c r="G32" i="169" s="1"/>
  <c r="K32" i="169" s="1"/>
  <c r="I32" i="169"/>
  <c r="M31" i="169"/>
  <c r="I31" i="169"/>
  <c r="G31" i="169"/>
  <c r="K31" i="169" s="1"/>
  <c r="M30" i="169"/>
  <c r="P30" i="169" s="1"/>
  <c r="R30" i="169" s="1"/>
  <c r="I30" i="169"/>
  <c r="G30" i="169"/>
  <c r="K30" i="169" s="1"/>
  <c r="P29" i="169"/>
  <c r="M29" i="169"/>
  <c r="G29" i="169" s="1"/>
  <c r="K29" i="169" s="1"/>
  <c r="I29" i="169"/>
  <c r="P25" i="169"/>
  <c r="R25" i="169" s="1"/>
  <c r="M25" i="169"/>
  <c r="G25" i="169" s="1"/>
  <c r="K25" i="169" s="1"/>
  <c r="I25" i="169"/>
  <c r="M24" i="169"/>
  <c r="I24" i="169"/>
  <c r="G24" i="169"/>
  <c r="K24" i="169" s="1"/>
  <c r="M23" i="169"/>
  <c r="P23" i="169" s="1"/>
  <c r="R23" i="169" s="1"/>
  <c r="I23" i="169"/>
  <c r="G23" i="169"/>
  <c r="K23" i="169" s="1"/>
  <c r="P21" i="169"/>
  <c r="M21" i="169"/>
  <c r="G21" i="169" s="1"/>
  <c r="K21" i="169" s="1"/>
  <c r="I21" i="169"/>
  <c r="M20" i="169"/>
  <c r="K20" i="169" s="1"/>
  <c r="I20" i="169"/>
  <c r="M19" i="169"/>
  <c r="I19" i="169"/>
  <c r="G19" i="169"/>
  <c r="K19" i="169" s="1"/>
  <c r="M18" i="169"/>
  <c r="P18" i="169" s="1"/>
  <c r="R18" i="169" s="1"/>
  <c r="I18" i="169"/>
  <c r="G18" i="169"/>
  <c r="K18" i="169" s="1"/>
  <c r="P17" i="169"/>
  <c r="M17" i="169"/>
  <c r="G17" i="169" s="1"/>
  <c r="K17" i="169" s="1"/>
  <c r="I17" i="169"/>
  <c r="P16" i="169"/>
  <c r="R16" i="169" s="1"/>
  <c r="M16" i="169"/>
  <c r="G16" i="169" s="1"/>
  <c r="K16" i="169" s="1"/>
  <c r="I16" i="169"/>
  <c r="G23" i="167"/>
  <c r="G22" i="167"/>
  <c r="G21" i="167"/>
  <c r="F24" i="167"/>
  <c r="E14" i="161" s="1"/>
  <c r="G19" i="167"/>
  <c r="G18" i="167"/>
  <c r="G17" i="167"/>
  <c r="G16" i="167"/>
  <c r="G15" i="167"/>
  <c r="G14" i="167"/>
  <c r="G13" i="167"/>
  <c r="G12" i="167"/>
  <c r="G11" i="167"/>
  <c r="G10" i="167"/>
  <c r="G9" i="167"/>
  <c r="G8" i="167"/>
  <c r="G7" i="167"/>
  <c r="E24" i="166"/>
  <c r="D20" i="166"/>
  <c r="I11" i="162" s="1"/>
  <c r="D19" i="166"/>
  <c r="I9" i="162" s="1"/>
  <c r="D18" i="166"/>
  <c r="I15" i="162" s="1"/>
  <c r="D17" i="166"/>
  <c r="I8" i="162" s="1"/>
  <c r="D16" i="166"/>
  <c r="I16" i="162" s="1"/>
  <c r="D15" i="166"/>
  <c r="I14" i="162" s="1"/>
  <c r="D14" i="166"/>
  <c r="I17" i="162" s="1"/>
  <c r="D13" i="166"/>
  <c r="I6" i="162" s="1"/>
  <c r="D12" i="166"/>
  <c r="I7" i="162" s="1"/>
  <c r="D11" i="166"/>
  <c r="I18" i="162" s="1"/>
  <c r="D10" i="166"/>
  <c r="I20" i="162" s="1"/>
  <c r="D9" i="166"/>
  <c r="I19" i="162" s="1"/>
  <c r="I4" i="162"/>
  <c r="D7" i="166"/>
  <c r="I13" i="162" s="1"/>
  <c r="D6" i="166"/>
  <c r="I10" i="162" s="1"/>
  <c r="D5" i="166"/>
  <c r="I5" i="162" s="1"/>
  <c r="D4" i="166"/>
  <c r="I12" i="162" s="1"/>
  <c r="B15" i="165"/>
  <c r="A14" i="165"/>
  <c r="A13" i="165"/>
  <c r="A12" i="165"/>
  <c r="A11" i="165"/>
  <c r="A10" i="165"/>
  <c r="A9" i="165"/>
  <c r="A8" i="165"/>
  <c r="A7" i="165"/>
  <c r="I5" i="165"/>
  <c r="D57" i="90" s="1"/>
  <c r="H5" i="165"/>
  <c r="B57" i="90" s="1"/>
  <c r="F4" i="165"/>
  <c r="B164" i="163"/>
  <c r="J163" i="163"/>
  <c r="H163" i="163"/>
  <c r="B162" i="163"/>
  <c r="K163" i="163"/>
  <c r="I163" i="163"/>
  <c r="G163" i="163"/>
  <c r="F163" i="163"/>
  <c r="B160" i="163"/>
  <c r="B159" i="163"/>
  <c r="D158" i="163"/>
  <c r="B158" i="163"/>
  <c r="E157" i="163"/>
  <c r="B157" i="163"/>
  <c r="B155" i="163"/>
  <c r="K154" i="163"/>
  <c r="I154" i="163"/>
  <c r="H154" i="163"/>
  <c r="B153" i="163"/>
  <c r="J154" i="163"/>
  <c r="G154" i="163"/>
  <c r="F154" i="163"/>
  <c r="B151" i="163"/>
  <c r="B150" i="163"/>
  <c r="D149" i="163"/>
  <c r="B149" i="163"/>
  <c r="B148" i="163"/>
  <c r="B146" i="163"/>
  <c r="K145" i="163"/>
  <c r="J145" i="163"/>
  <c r="H145" i="163"/>
  <c r="G145" i="163"/>
  <c r="B144" i="163"/>
  <c r="I145" i="163"/>
  <c r="F145" i="163"/>
  <c r="B142" i="163"/>
  <c r="B141" i="163"/>
  <c r="D140" i="163"/>
  <c r="B140" i="163"/>
  <c r="B139" i="163"/>
  <c r="B137" i="163"/>
  <c r="J136" i="163"/>
  <c r="I136" i="163"/>
  <c r="H136" i="163"/>
  <c r="F136" i="163"/>
  <c r="B135" i="163"/>
  <c r="K136" i="163"/>
  <c r="G136" i="163"/>
  <c r="B133" i="163"/>
  <c r="B132" i="163"/>
  <c r="D131" i="163"/>
  <c r="B131" i="163"/>
  <c r="B130" i="163"/>
  <c r="B128" i="163"/>
  <c r="H127" i="163"/>
  <c r="G127" i="163"/>
  <c r="B126" i="163"/>
  <c r="K127" i="163"/>
  <c r="J127" i="163"/>
  <c r="I127" i="163"/>
  <c r="F127" i="163"/>
  <c r="B124" i="163"/>
  <c r="B123" i="163"/>
  <c r="D122" i="163"/>
  <c r="B122" i="163"/>
  <c r="E121" i="163"/>
  <c r="B121" i="163"/>
  <c r="B119" i="163"/>
  <c r="G118" i="163"/>
  <c r="F118" i="163"/>
  <c r="B117" i="163"/>
  <c r="K118" i="163"/>
  <c r="J118" i="163"/>
  <c r="I118" i="163"/>
  <c r="B115" i="163"/>
  <c r="B114" i="163"/>
  <c r="D113" i="163"/>
  <c r="B113" i="163"/>
  <c r="B112" i="163"/>
  <c r="B110" i="163"/>
  <c r="K109" i="163"/>
  <c r="G109" i="163"/>
  <c r="F109" i="163"/>
  <c r="B108" i="163"/>
  <c r="J109" i="163"/>
  <c r="I109" i="163"/>
  <c r="H109" i="163"/>
  <c r="B106" i="163"/>
  <c r="B105" i="163"/>
  <c r="D104" i="163"/>
  <c r="B104" i="163"/>
  <c r="B103" i="163"/>
  <c r="B101" i="163"/>
  <c r="J100" i="163"/>
  <c r="H100" i="163"/>
  <c r="F100" i="163"/>
  <c r="B99" i="163"/>
  <c r="I100" i="163"/>
  <c r="G100" i="163"/>
  <c r="B97" i="163"/>
  <c r="B96" i="163"/>
  <c r="D95" i="163"/>
  <c r="B95" i="163"/>
  <c r="B94" i="163"/>
  <c r="B92" i="163"/>
  <c r="J91" i="163"/>
  <c r="H91" i="163"/>
  <c r="F91" i="163"/>
  <c r="B90" i="163"/>
  <c r="K91" i="163"/>
  <c r="I91" i="163"/>
  <c r="G91" i="163"/>
  <c r="B88" i="163"/>
  <c r="B87" i="163"/>
  <c r="D86" i="163"/>
  <c r="B86" i="163"/>
  <c r="B85" i="163"/>
  <c r="B83" i="163"/>
  <c r="I82" i="163"/>
  <c r="G82" i="163"/>
  <c r="B81" i="163"/>
  <c r="K82" i="163"/>
  <c r="J82" i="163"/>
  <c r="H82" i="163"/>
  <c r="F82" i="163"/>
  <c r="B79" i="163"/>
  <c r="B78" i="163"/>
  <c r="D77" i="163"/>
  <c r="B77" i="163"/>
  <c r="B76" i="163"/>
  <c r="B74" i="163"/>
  <c r="K73" i="163"/>
  <c r="H73" i="163"/>
  <c r="F73" i="163"/>
  <c r="B72" i="163"/>
  <c r="J73" i="163"/>
  <c r="I73" i="163"/>
  <c r="G73" i="163"/>
  <c r="B70" i="163"/>
  <c r="B69" i="163"/>
  <c r="D68" i="163"/>
  <c r="B68" i="163"/>
  <c r="B67" i="163"/>
  <c r="B65" i="163"/>
  <c r="K64" i="163"/>
  <c r="J64" i="163"/>
  <c r="G64" i="163"/>
  <c r="B63" i="163"/>
  <c r="I64" i="163"/>
  <c r="H64" i="163"/>
  <c r="F64" i="163"/>
  <c r="B61" i="163"/>
  <c r="B60" i="163"/>
  <c r="D59" i="163"/>
  <c r="B59" i="163"/>
  <c r="B58" i="163"/>
  <c r="B56" i="163"/>
  <c r="K55" i="163"/>
  <c r="J55" i="163"/>
  <c r="G55" i="163"/>
  <c r="B54" i="163"/>
  <c r="I55" i="163"/>
  <c r="H55" i="163"/>
  <c r="F55" i="163"/>
  <c r="B52" i="163"/>
  <c r="B51" i="163"/>
  <c r="D50" i="163"/>
  <c r="B50" i="163"/>
  <c r="E49" i="163"/>
  <c r="B49" i="163"/>
  <c r="B47" i="163"/>
  <c r="J46" i="163"/>
  <c r="I46" i="163"/>
  <c r="F46" i="163"/>
  <c r="B45" i="163"/>
  <c r="K46" i="163"/>
  <c r="H46" i="163"/>
  <c r="G46" i="163"/>
  <c r="B43" i="163"/>
  <c r="B42" i="163"/>
  <c r="D41" i="163"/>
  <c r="B41" i="163"/>
  <c r="B40" i="163"/>
  <c r="B38" i="163"/>
  <c r="B36" i="163"/>
  <c r="K35" i="163"/>
  <c r="J35" i="163"/>
  <c r="I35" i="163"/>
  <c r="H35" i="163"/>
  <c r="G35" i="163"/>
  <c r="F35" i="163"/>
  <c r="J34" i="163"/>
  <c r="B34" i="163"/>
  <c r="J33" i="163"/>
  <c r="I33" i="163"/>
  <c r="B33" i="163"/>
  <c r="J32" i="163"/>
  <c r="I32" i="163"/>
  <c r="E32" i="163"/>
  <c r="L32" i="163" s="1"/>
  <c r="D32" i="163"/>
  <c r="B32" i="163"/>
  <c r="O31" i="163"/>
  <c r="L31" i="163"/>
  <c r="K31" i="163"/>
  <c r="J31" i="163"/>
  <c r="I31" i="163"/>
  <c r="I34" i="163" s="1"/>
  <c r="H31" i="163"/>
  <c r="G31" i="163"/>
  <c r="F31" i="163"/>
  <c r="E31" i="163"/>
  <c r="B31" i="163"/>
  <c r="B29" i="163"/>
  <c r="K28" i="163"/>
  <c r="I28" i="163"/>
  <c r="G28" i="163"/>
  <c r="F28" i="163"/>
  <c r="B27" i="163"/>
  <c r="J28" i="163"/>
  <c r="H28" i="163"/>
  <c r="B25" i="163"/>
  <c r="B24" i="163"/>
  <c r="D23" i="163"/>
  <c r="B23" i="163"/>
  <c r="E22" i="163"/>
  <c r="B22" i="163"/>
  <c r="B20" i="163"/>
  <c r="J19" i="163"/>
  <c r="H19" i="163"/>
  <c r="B18" i="163"/>
  <c r="K19" i="163"/>
  <c r="I19" i="163"/>
  <c r="G19" i="163"/>
  <c r="F19" i="163"/>
  <c r="B16" i="163"/>
  <c r="B15" i="163"/>
  <c r="D14" i="163"/>
  <c r="B14" i="163"/>
  <c r="B13" i="163"/>
  <c r="B11" i="163"/>
  <c r="B9" i="163"/>
  <c r="B7" i="163"/>
  <c r="B6" i="163"/>
  <c r="B5" i="163"/>
  <c r="B4" i="163"/>
  <c r="W22" i="162"/>
  <c r="V22" i="162"/>
  <c r="H14" i="168" l="1"/>
  <c r="F13" i="168"/>
  <c r="H13" i="168" s="1"/>
  <c r="F6" i="168"/>
  <c r="H6" i="168" s="1"/>
  <c r="F11" i="168"/>
  <c r="H11" i="168" s="1"/>
  <c r="I98" i="171" s="1"/>
  <c r="F10" i="168"/>
  <c r="H10" i="168" s="1"/>
  <c r="I96" i="171" s="1"/>
  <c r="F9" i="168"/>
  <c r="H9" i="168" s="1"/>
  <c r="I94" i="171" s="1"/>
  <c r="F7" i="168"/>
  <c r="H7" i="168" s="1"/>
  <c r="I90" i="171" s="1"/>
  <c r="F8" i="168"/>
  <c r="H8" i="168" s="1"/>
  <c r="G12" i="90"/>
  <c r="D12" i="90"/>
  <c r="D22" i="166"/>
  <c r="D29" i="166" s="1"/>
  <c r="P20" i="169"/>
  <c r="R20" i="169" s="1"/>
  <c r="J19" i="171"/>
  <c r="R19" i="171" s="1"/>
  <c r="J82" i="171"/>
  <c r="J61" i="171"/>
  <c r="R61" i="171" s="1"/>
  <c r="J40" i="171"/>
  <c r="R40" i="171" s="1"/>
  <c r="I82" i="171"/>
  <c r="I164" i="171" s="1"/>
  <c r="I19" i="171"/>
  <c r="I61" i="171"/>
  <c r="I40" i="171"/>
  <c r="H40" i="171"/>
  <c r="H19" i="171"/>
  <c r="H82" i="171"/>
  <c r="H164" i="171" s="1"/>
  <c r="H61" i="171"/>
  <c r="G61" i="171"/>
  <c r="G19" i="171"/>
  <c r="G40" i="171"/>
  <c r="G82" i="171"/>
  <c r="G164" i="171" s="1"/>
  <c r="F61" i="171"/>
  <c r="F19" i="171"/>
  <c r="F82" i="171"/>
  <c r="F164" i="171" s="1"/>
  <c r="F40" i="171"/>
  <c r="E19" i="171"/>
  <c r="E40" i="171"/>
  <c r="E61" i="171"/>
  <c r="E82" i="171"/>
  <c r="E164" i="171" s="1"/>
  <c r="D82" i="171"/>
  <c r="D164" i="171" s="1"/>
  <c r="D19" i="171"/>
  <c r="D40" i="171"/>
  <c r="D61" i="171"/>
  <c r="J53" i="171"/>
  <c r="R53" i="171" s="1"/>
  <c r="J74" i="171"/>
  <c r="J11" i="171"/>
  <c r="R11" i="171" s="1"/>
  <c r="J32" i="171"/>
  <c r="R32" i="171" s="1"/>
  <c r="I74" i="171"/>
  <c r="I156" i="171" s="1"/>
  <c r="I53" i="171"/>
  <c r="I32" i="171"/>
  <c r="I11" i="171"/>
  <c r="H11" i="171"/>
  <c r="H74" i="171"/>
  <c r="H156" i="171" s="1"/>
  <c r="H53" i="171"/>
  <c r="H32" i="171"/>
  <c r="G32" i="171"/>
  <c r="G74" i="171"/>
  <c r="G156" i="171" s="1"/>
  <c r="G11" i="171"/>
  <c r="G53" i="171"/>
  <c r="F53" i="171"/>
  <c r="F11" i="171"/>
  <c r="F32" i="171"/>
  <c r="F74" i="171"/>
  <c r="F156" i="171" s="1"/>
  <c r="E11" i="171"/>
  <c r="E53" i="171"/>
  <c r="E74" i="171"/>
  <c r="E156" i="171" s="1"/>
  <c r="E32" i="171"/>
  <c r="D32" i="171"/>
  <c r="D11" i="171"/>
  <c r="D53" i="171"/>
  <c r="D74" i="171"/>
  <c r="D156" i="171" s="1"/>
  <c r="E78" i="171"/>
  <c r="E160" i="171" s="1"/>
  <c r="E57" i="171"/>
  <c r="E36" i="171"/>
  <c r="E15" i="171"/>
  <c r="H36" i="171"/>
  <c r="H57" i="171"/>
  <c r="H78" i="171"/>
  <c r="H160" i="171" s="1"/>
  <c r="H15" i="171"/>
  <c r="I15" i="171"/>
  <c r="I78" i="171"/>
  <c r="I160" i="171" s="1"/>
  <c r="I57" i="171"/>
  <c r="I36" i="171"/>
  <c r="J36" i="171"/>
  <c r="R36" i="171" s="1"/>
  <c r="J57" i="171"/>
  <c r="R57" i="171" s="1"/>
  <c r="J15" i="171"/>
  <c r="R15" i="171" s="1"/>
  <c r="J78" i="171"/>
  <c r="G78" i="171"/>
  <c r="G160" i="171" s="1"/>
  <c r="G57" i="171"/>
  <c r="G36" i="171"/>
  <c r="G15" i="171"/>
  <c r="F36" i="171"/>
  <c r="F15" i="171"/>
  <c r="F78" i="171"/>
  <c r="F160" i="171" s="1"/>
  <c r="F57" i="171"/>
  <c r="D57" i="171"/>
  <c r="D15" i="171"/>
  <c r="D78" i="171"/>
  <c r="D36" i="171"/>
  <c r="G62" i="171"/>
  <c r="G20" i="171"/>
  <c r="G83" i="171"/>
  <c r="G165" i="171" s="1"/>
  <c r="G41" i="171"/>
  <c r="J62" i="171"/>
  <c r="R62" i="171" s="1"/>
  <c r="J83" i="171"/>
  <c r="J165" i="171" s="1"/>
  <c r="J20" i="171"/>
  <c r="R20" i="171" s="1"/>
  <c r="J41" i="171"/>
  <c r="R41" i="171" s="1"/>
  <c r="I41" i="171"/>
  <c r="I62" i="171"/>
  <c r="I83" i="171"/>
  <c r="I165" i="171" s="1"/>
  <c r="I20" i="171"/>
  <c r="U19" i="172"/>
  <c r="H83" i="171"/>
  <c r="H165" i="171" s="1"/>
  <c r="H62" i="171"/>
  <c r="H41" i="171"/>
  <c r="H20" i="171"/>
  <c r="F41" i="171"/>
  <c r="F20" i="171"/>
  <c r="F83" i="171"/>
  <c r="F165" i="171" s="1"/>
  <c r="F62" i="171"/>
  <c r="E62" i="171"/>
  <c r="E41" i="171"/>
  <c r="E20" i="171"/>
  <c r="E83" i="171"/>
  <c r="E165" i="171" s="1"/>
  <c r="D83" i="171"/>
  <c r="D165" i="171" s="1"/>
  <c r="D62" i="171"/>
  <c r="D20" i="171"/>
  <c r="D41" i="171"/>
  <c r="J64" i="171"/>
  <c r="R64" i="171" s="1"/>
  <c r="J22" i="171"/>
  <c r="R22" i="171" s="1"/>
  <c r="J85" i="171"/>
  <c r="J43" i="171"/>
  <c r="R43" i="171" s="1"/>
  <c r="D43" i="171"/>
  <c r="D22" i="171"/>
  <c r="D64" i="171"/>
  <c r="D85" i="171"/>
  <c r="F64" i="171"/>
  <c r="F85" i="171"/>
  <c r="F167" i="171" s="1"/>
  <c r="F43" i="171"/>
  <c r="F22" i="171"/>
  <c r="I43" i="171"/>
  <c r="I64" i="171"/>
  <c r="I85" i="171"/>
  <c r="I167" i="171" s="1"/>
  <c r="I22" i="171"/>
  <c r="H85" i="171"/>
  <c r="H167" i="171" s="1"/>
  <c r="H64" i="171"/>
  <c r="H43" i="171"/>
  <c r="H22" i="171"/>
  <c r="G22" i="171"/>
  <c r="G85" i="171"/>
  <c r="G167" i="171" s="1"/>
  <c r="G64" i="171"/>
  <c r="G43" i="171"/>
  <c r="E22" i="171"/>
  <c r="E64" i="171"/>
  <c r="E43" i="171"/>
  <c r="E85" i="171"/>
  <c r="E167" i="171" s="1"/>
  <c r="I84" i="171"/>
  <c r="I166" i="171" s="1"/>
  <c r="I63" i="171"/>
  <c r="I21" i="171"/>
  <c r="I42" i="171"/>
  <c r="J84" i="171"/>
  <c r="J166" i="171" s="1"/>
  <c r="J42" i="171"/>
  <c r="R42" i="171" s="1"/>
  <c r="J21" i="171"/>
  <c r="R21" i="171" s="1"/>
  <c r="J63" i="171"/>
  <c r="R63" i="171" s="1"/>
  <c r="H63" i="171"/>
  <c r="H21" i="171"/>
  <c r="H84" i="171"/>
  <c r="H166" i="171" s="1"/>
  <c r="H42" i="171"/>
  <c r="G42" i="171"/>
  <c r="G63" i="171"/>
  <c r="G84" i="171"/>
  <c r="G166" i="171" s="1"/>
  <c r="G21" i="171"/>
  <c r="F21" i="171"/>
  <c r="F42" i="171"/>
  <c r="F63" i="171"/>
  <c r="F84" i="171"/>
  <c r="F166" i="171" s="1"/>
  <c r="E84" i="171"/>
  <c r="E166" i="171" s="1"/>
  <c r="E63" i="171"/>
  <c r="E42" i="171"/>
  <c r="E21" i="171"/>
  <c r="D63" i="171"/>
  <c r="D42" i="171"/>
  <c r="D84" i="171"/>
  <c r="D166" i="171" s="1"/>
  <c r="D21" i="171"/>
  <c r="F8" i="171"/>
  <c r="F71" i="171"/>
  <c r="F153" i="171" s="1"/>
  <c r="F29" i="171"/>
  <c r="F50" i="171"/>
  <c r="J29" i="171"/>
  <c r="R29" i="171" s="1"/>
  <c r="J71" i="171"/>
  <c r="R71" i="171" s="1"/>
  <c r="J8" i="171"/>
  <c r="R8" i="171" s="1"/>
  <c r="J50" i="171"/>
  <c r="R50" i="171" s="1"/>
  <c r="I50" i="171"/>
  <c r="I71" i="171"/>
  <c r="I153" i="171" s="1"/>
  <c r="I29" i="171"/>
  <c r="I8" i="171"/>
  <c r="H50" i="171"/>
  <c r="H8" i="171"/>
  <c r="H71" i="171"/>
  <c r="H153" i="171" s="1"/>
  <c r="H29" i="171"/>
  <c r="G29" i="171"/>
  <c r="G50" i="171"/>
  <c r="G8" i="171"/>
  <c r="G71" i="171"/>
  <c r="G153" i="171" s="1"/>
  <c r="E71" i="171"/>
  <c r="E153" i="171" s="1"/>
  <c r="E29" i="171"/>
  <c r="E8" i="171"/>
  <c r="E50" i="171"/>
  <c r="U7" i="172"/>
  <c r="D71" i="171"/>
  <c r="D153" i="171" s="1"/>
  <c r="D50" i="171"/>
  <c r="D29" i="171"/>
  <c r="D8" i="171"/>
  <c r="J70" i="171"/>
  <c r="J49" i="171"/>
  <c r="R49" i="171" s="1"/>
  <c r="J28" i="171"/>
  <c r="R28" i="171" s="1"/>
  <c r="J7" i="171"/>
  <c r="R7" i="171" s="1"/>
  <c r="I7" i="171"/>
  <c r="I70" i="171"/>
  <c r="I152" i="171" s="1"/>
  <c r="I49" i="171"/>
  <c r="I28" i="171"/>
  <c r="H28" i="171"/>
  <c r="H7" i="171"/>
  <c r="H70" i="171"/>
  <c r="H152" i="171" s="1"/>
  <c r="H49" i="171"/>
  <c r="G49" i="171"/>
  <c r="G70" i="171"/>
  <c r="G152" i="171" s="1"/>
  <c r="G28" i="171"/>
  <c r="G7" i="171"/>
  <c r="F28" i="171"/>
  <c r="F7" i="171"/>
  <c r="F49" i="171"/>
  <c r="F70" i="171"/>
  <c r="F152" i="171" s="1"/>
  <c r="E7" i="171"/>
  <c r="E28" i="171"/>
  <c r="E70" i="171"/>
  <c r="E152" i="171" s="1"/>
  <c r="E49" i="171"/>
  <c r="U6" i="172"/>
  <c r="D70" i="171"/>
  <c r="D152" i="171" s="1"/>
  <c r="D7" i="171"/>
  <c r="D49" i="171"/>
  <c r="D28" i="171"/>
  <c r="I12" i="171"/>
  <c r="I75" i="171"/>
  <c r="I157" i="171" s="1"/>
  <c r="I54" i="171"/>
  <c r="I33" i="171"/>
  <c r="G12" i="171"/>
  <c r="G75" i="171"/>
  <c r="G157" i="171" s="1"/>
  <c r="G54" i="171"/>
  <c r="G33" i="171"/>
  <c r="E54" i="171"/>
  <c r="E33" i="171"/>
  <c r="E12" i="171"/>
  <c r="E75" i="171"/>
  <c r="E157" i="171" s="1"/>
  <c r="D75" i="171"/>
  <c r="D157" i="171" s="1"/>
  <c r="D54" i="171"/>
  <c r="D12" i="171"/>
  <c r="D33" i="171"/>
  <c r="I30" i="171"/>
  <c r="I51" i="171"/>
  <c r="I9" i="171"/>
  <c r="I72" i="171"/>
  <c r="I154" i="171" s="1"/>
  <c r="H72" i="171"/>
  <c r="H154" i="171" s="1"/>
  <c r="H30" i="171"/>
  <c r="H9" i="171"/>
  <c r="H51" i="171"/>
  <c r="J9" i="171"/>
  <c r="R9" i="171" s="1"/>
  <c r="J30" i="171"/>
  <c r="R30" i="171" s="1"/>
  <c r="J51" i="171"/>
  <c r="R51" i="171" s="1"/>
  <c r="J72" i="171"/>
  <c r="J154" i="171" s="1"/>
  <c r="G30" i="171"/>
  <c r="G51" i="171"/>
  <c r="G9" i="171"/>
  <c r="G72" i="171"/>
  <c r="G154" i="171" s="1"/>
  <c r="F72" i="171"/>
  <c r="F154" i="171" s="1"/>
  <c r="F51" i="171"/>
  <c r="F30" i="171"/>
  <c r="F9" i="171"/>
  <c r="E72" i="171"/>
  <c r="E154" i="171" s="1"/>
  <c r="E51" i="171"/>
  <c r="E30" i="171"/>
  <c r="E9" i="171"/>
  <c r="U8" i="172"/>
  <c r="D30" i="171"/>
  <c r="D72" i="171"/>
  <c r="D154" i="171" s="1"/>
  <c r="D51" i="171"/>
  <c r="D9" i="171"/>
  <c r="J6" i="171"/>
  <c r="J27" i="171"/>
  <c r="R27" i="171" s="1"/>
  <c r="J69" i="171"/>
  <c r="R69" i="171" s="1"/>
  <c r="J48" i="171"/>
  <c r="R48" i="171" s="1"/>
  <c r="I48" i="171"/>
  <c r="I27" i="171"/>
  <c r="I69" i="171"/>
  <c r="I151" i="171" s="1"/>
  <c r="I6" i="171"/>
  <c r="H27" i="171"/>
  <c r="H6" i="171"/>
  <c r="H48" i="171"/>
  <c r="H69" i="171"/>
  <c r="H151" i="171" s="1"/>
  <c r="G27" i="171"/>
  <c r="G6" i="171"/>
  <c r="G48" i="171"/>
  <c r="G69" i="171"/>
  <c r="G151" i="171" s="1"/>
  <c r="F69" i="171"/>
  <c r="F151" i="171" s="1"/>
  <c r="F27" i="171"/>
  <c r="F48" i="171"/>
  <c r="F6" i="171"/>
  <c r="E69" i="171"/>
  <c r="E151" i="171" s="1"/>
  <c r="E48" i="171"/>
  <c r="E27" i="171"/>
  <c r="E6" i="171"/>
  <c r="D48" i="171"/>
  <c r="D69" i="171"/>
  <c r="D151" i="171" s="1"/>
  <c r="D27" i="171"/>
  <c r="D6" i="171"/>
  <c r="J77" i="171"/>
  <c r="J56" i="171"/>
  <c r="R56" i="171" s="1"/>
  <c r="J35" i="171"/>
  <c r="R35" i="171" s="1"/>
  <c r="J14" i="171"/>
  <c r="R14" i="171" s="1"/>
  <c r="I14" i="171"/>
  <c r="I35" i="171"/>
  <c r="I77" i="171"/>
  <c r="I159" i="171" s="1"/>
  <c r="I56" i="171"/>
  <c r="H56" i="171"/>
  <c r="H77" i="171"/>
  <c r="H159" i="171" s="1"/>
  <c r="H35" i="171"/>
  <c r="H14" i="171"/>
  <c r="G35" i="171"/>
  <c r="G56" i="171"/>
  <c r="G14" i="171"/>
  <c r="G77" i="171"/>
  <c r="G159" i="171" s="1"/>
  <c r="F35" i="171"/>
  <c r="F14" i="171"/>
  <c r="F56" i="171"/>
  <c r="F77" i="171"/>
  <c r="F159" i="171" s="1"/>
  <c r="E14" i="171"/>
  <c r="E35" i="171"/>
  <c r="E77" i="171"/>
  <c r="E159" i="171" s="1"/>
  <c r="E56" i="171"/>
  <c r="X5" i="172"/>
  <c r="N18" i="162"/>
  <c r="X19" i="172"/>
  <c r="D77" i="171"/>
  <c r="D159" i="171" s="1"/>
  <c r="D56" i="171"/>
  <c r="D35" i="171"/>
  <c r="D14" i="171"/>
  <c r="R20" i="162"/>
  <c r="X21" i="172"/>
  <c r="U10" i="162"/>
  <c r="X11" i="172"/>
  <c r="J76" i="171"/>
  <c r="J158" i="171" s="1"/>
  <c r="J55" i="171"/>
  <c r="R55" i="171" s="1"/>
  <c r="J34" i="171"/>
  <c r="R34" i="171" s="1"/>
  <c r="J13" i="171"/>
  <c r="R13" i="171" s="1"/>
  <c r="I76" i="171"/>
  <c r="I158" i="171" s="1"/>
  <c r="I55" i="171"/>
  <c r="I34" i="171"/>
  <c r="I13" i="171"/>
  <c r="H34" i="171"/>
  <c r="H13" i="171"/>
  <c r="H76" i="171"/>
  <c r="H158" i="171" s="1"/>
  <c r="H55" i="171"/>
  <c r="G55" i="171"/>
  <c r="G76" i="171"/>
  <c r="G158" i="171" s="1"/>
  <c r="G34" i="171"/>
  <c r="G13" i="171"/>
  <c r="F13" i="171"/>
  <c r="F55" i="171"/>
  <c r="F34" i="171"/>
  <c r="F76" i="171"/>
  <c r="F158" i="171" s="1"/>
  <c r="E13" i="171"/>
  <c r="E34" i="171"/>
  <c r="E55" i="171"/>
  <c r="E76" i="171"/>
  <c r="E158" i="171" s="1"/>
  <c r="D13" i="171"/>
  <c r="D55" i="171"/>
  <c r="D34" i="171"/>
  <c r="D76" i="171"/>
  <c r="G23" i="172"/>
  <c r="I88" i="171"/>
  <c r="N122" i="171"/>
  <c r="AN110" i="171"/>
  <c r="M10" i="162" s="1"/>
  <c r="V120" i="171"/>
  <c r="X120" i="171" s="1"/>
  <c r="W110" i="171"/>
  <c r="L39" i="171"/>
  <c r="N39" i="171" s="1"/>
  <c r="Q120" i="171"/>
  <c r="J161" i="171"/>
  <c r="L52" i="171"/>
  <c r="E108" i="171" s="1"/>
  <c r="L59" i="171"/>
  <c r="E115" i="171" s="1"/>
  <c r="L16" i="171"/>
  <c r="D114" i="171" s="1"/>
  <c r="AN114" i="171"/>
  <c r="M14" i="162" s="1"/>
  <c r="W106" i="171"/>
  <c r="G13" i="58" s="1"/>
  <c r="G11" i="58"/>
  <c r="L60" i="171"/>
  <c r="E116" i="171" s="1"/>
  <c r="K122" i="171"/>
  <c r="P105" i="171"/>
  <c r="L6" i="162"/>
  <c r="D18" i="90" s="1"/>
  <c r="E15" i="58"/>
  <c r="M111" i="171"/>
  <c r="N14" i="162"/>
  <c r="L17" i="171"/>
  <c r="D115" i="171" s="1"/>
  <c r="L80" i="171"/>
  <c r="H115" i="171" s="1"/>
  <c r="R80" i="171"/>
  <c r="AN115" i="171" s="1"/>
  <c r="M15" i="162" s="1"/>
  <c r="P108" i="171"/>
  <c r="N9" i="162"/>
  <c r="Q107" i="171"/>
  <c r="N17" i="162"/>
  <c r="V107" i="171"/>
  <c r="X107" i="171" s="1"/>
  <c r="V108" i="171"/>
  <c r="L19" i="171"/>
  <c r="D117" i="171" s="1"/>
  <c r="V118" i="171"/>
  <c r="L31" i="171"/>
  <c r="G108" i="171" s="1"/>
  <c r="L37" i="171"/>
  <c r="G114" i="171" s="1"/>
  <c r="W115" i="171"/>
  <c r="X115" i="171" s="1"/>
  <c r="R73" i="171"/>
  <c r="AN108" i="171" s="1"/>
  <c r="M8" i="162" s="1"/>
  <c r="R81" i="171"/>
  <c r="AN116" i="171" s="1"/>
  <c r="M16" i="162" s="1"/>
  <c r="P104" i="171"/>
  <c r="N8" i="162"/>
  <c r="M110" i="171"/>
  <c r="Q110" i="171" s="1"/>
  <c r="P115" i="171"/>
  <c r="N16" i="162"/>
  <c r="P110" i="171"/>
  <c r="N15" i="162"/>
  <c r="M117" i="171"/>
  <c r="Q117" i="171" s="1"/>
  <c r="P118" i="171"/>
  <c r="V106" i="171"/>
  <c r="G9" i="58" s="1"/>
  <c r="V105" i="171"/>
  <c r="X105" i="171" s="1"/>
  <c r="V112" i="171"/>
  <c r="W117" i="171"/>
  <c r="V117" i="171"/>
  <c r="V109" i="171"/>
  <c r="X109" i="171" s="1"/>
  <c r="V111" i="171"/>
  <c r="X111" i="171" s="1"/>
  <c r="V116" i="171"/>
  <c r="W113" i="171"/>
  <c r="X112" i="171"/>
  <c r="X114" i="171"/>
  <c r="X110" i="171"/>
  <c r="X119" i="171"/>
  <c r="E60" i="173"/>
  <c r="K23" i="172"/>
  <c r="I23" i="172"/>
  <c r="M23" i="172"/>
  <c r="U10" i="172"/>
  <c r="U11" i="172"/>
  <c r="U13" i="172"/>
  <c r="U14" i="172"/>
  <c r="E23" i="172"/>
  <c r="U18" i="172"/>
  <c r="U5" i="172"/>
  <c r="Q23" i="172"/>
  <c r="S23" i="172"/>
  <c r="U20" i="172"/>
  <c r="U21" i="172"/>
  <c r="U12" i="172"/>
  <c r="G20" i="167"/>
  <c r="F14" i="165"/>
  <c r="F12" i="165"/>
  <c r="F7" i="165"/>
  <c r="H9" i="165"/>
  <c r="B61" i="90" s="1"/>
  <c r="E4" i="163"/>
  <c r="R8" i="162"/>
  <c r="R19" i="162"/>
  <c r="U19" i="162"/>
  <c r="N20" i="162"/>
  <c r="U9" i="162"/>
  <c r="E5" i="161"/>
  <c r="U13" i="162"/>
  <c r="F9" i="165"/>
  <c r="H11" i="165"/>
  <c r="B63" i="90" s="1"/>
  <c r="F10" i="165"/>
  <c r="F5" i="165"/>
  <c r="F11" i="165"/>
  <c r="J5" i="165"/>
  <c r="B69" i="90" s="1"/>
  <c r="H7" i="165"/>
  <c r="B59" i="90" s="1"/>
  <c r="J7" i="165"/>
  <c r="B71" i="90" s="1"/>
  <c r="F13" i="165"/>
  <c r="N10" i="162"/>
  <c r="R16" i="162"/>
  <c r="R10" i="162"/>
  <c r="R15" i="162"/>
  <c r="R11" i="162"/>
  <c r="U14" i="162"/>
  <c r="U15" i="162"/>
  <c r="I22" i="162"/>
  <c r="I24" i="162" s="1"/>
  <c r="R7" i="162"/>
  <c r="R13" i="162"/>
  <c r="E23" i="173"/>
  <c r="O23" i="172"/>
  <c r="Q105" i="171"/>
  <c r="X104" i="171"/>
  <c r="M104" i="171"/>
  <c r="X108" i="171"/>
  <c r="L122" i="171"/>
  <c r="L10" i="171"/>
  <c r="L81" i="171"/>
  <c r="D163" i="171"/>
  <c r="L18" i="171"/>
  <c r="X116" i="171"/>
  <c r="L38" i="171"/>
  <c r="L58" i="171"/>
  <c r="D160" i="171"/>
  <c r="Q118" i="171"/>
  <c r="X118" i="171"/>
  <c r="W122" i="171"/>
  <c r="L73" i="171"/>
  <c r="D167" i="171"/>
  <c r="D155" i="171"/>
  <c r="L79" i="171"/>
  <c r="D161" i="171"/>
  <c r="P111" i="171"/>
  <c r="Q111" i="171" s="1"/>
  <c r="P114" i="171"/>
  <c r="Q114" i="171" s="1"/>
  <c r="M116" i="171"/>
  <c r="Q116" i="171" s="1"/>
  <c r="M119" i="171"/>
  <c r="S122" i="171"/>
  <c r="O122" i="171"/>
  <c r="P106" i="171"/>
  <c r="Q106" i="171" s="1"/>
  <c r="M108" i="171"/>
  <c r="Q112" i="171"/>
  <c r="Q115" i="171"/>
  <c r="P119" i="171"/>
  <c r="T147" i="171"/>
  <c r="O15" i="171"/>
  <c r="V113" i="171" s="1"/>
  <c r="R17" i="169"/>
  <c r="R21" i="169"/>
  <c r="R29" i="169"/>
  <c r="R33" i="169"/>
  <c r="P19" i="169"/>
  <c r="R19" i="169" s="1"/>
  <c r="P24" i="169"/>
  <c r="R24" i="169" s="1"/>
  <c r="P31" i="169"/>
  <c r="R31" i="169" s="1"/>
  <c r="D24" i="167"/>
  <c r="I9" i="165"/>
  <c r="I11" i="165"/>
  <c r="I7" i="165"/>
  <c r="F6" i="165"/>
  <c r="F8" i="165"/>
  <c r="E103" i="163"/>
  <c r="E58" i="163"/>
  <c r="E94" i="163"/>
  <c r="H34" i="163"/>
  <c r="E85" i="163"/>
  <c r="E13" i="163"/>
  <c r="E76" i="163"/>
  <c r="E139" i="163"/>
  <c r="E130" i="163"/>
  <c r="F32" i="163"/>
  <c r="E67" i="163"/>
  <c r="E148" i="163"/>
  <c r="G32" i="163"/>
  <c r="H32" i="163"/>
  <c r="H33" i="163" s="1"/>
  <c r="K32" i="163"/>
  <c r="U4" i="162"/>
  <c r="U8" i="162"/>
  <c r="U12" i="162"/>
  <c r="U17" i="162"/>
  <c r="U7" i="162"/>
  <c r="U11" i="162"/>
  <c r="R14" i="162"/>
  <c r="U16" i="162"/>
  <c r="U20" i="162"/>
  <c r="R5" i="162"/>
  <c r="R9" i="162"/>
  <c r="R18" i="162"/>
  <c r="R4" i="162"/>
  <c r="R12" i="162"/>
  <c r="R17" i="162"/>
  <c r="U5" i="162"/>
  <c r="U18" i="162"/>
  <c r="D63" i="90" l="1"/>
  <c r="D59" i="90"/>
  <c r="D61" i="90"/>
  <c r="J164" i="171"/>
  <c r="R82" i="171"/>
  <c r="AN117" i="171" s="1"/>
  <c r="M17" i="162" s="1"/>
  <c r="L40" i="171"/>
  <c r="N13" i="162"/>
  <c r="L82" i="171"/>
  <c r="H117" i="171" s="1"/>
  <c r="J153" i="171"/>
  <c r="L53" i="171"/>
  <c r="L11" i="171"/>
  <c r="N11" i="171" s="1"/>
  <c r="L61" i="171"/>
  <c r="E117" i="171" s="1"/>
  <c r="F117" i="171" s="1"/>
  <c r="L78" i="171"/>
  <c r="N78" i="171" s="1"/>
  <c r="R74" i="171"/>
  <c r="AN109" i="171" s="1"/>
  <c r="M9" i="162" s="1"/>
  <c r="J156" i="171"/>
  <c r="L74" i="171"/>
  <c r="N74" i="171" s="1"/>
  <c r="L32" i="171"/>
  <c r="N5" i="162"/>
  <c r="R83" i="171"/>
  <c r="R84" i="171"/>
  <c r="AN119" i="171" s="1"/>
  <c r="M19" i="162" s="1"/>
  <c r="L36" i="171"/>
  <c r="G113" i="171" s="1"/>
  <c r="L15" i="171"/>
  <c r="N15" i="171" s="1"/>
  <c r="L57" i="171"/>
  <c r="E113" i="171" s="1"/>
  <c r="R78" i="171"/>
  <c r="AN113" i="171" s="1"/>
  <c r="M13" i="162" s="1"/>
  <c r="J160" i="171"/>
  <c r="L64" i="171"/>
  <c r="N64" i="171" s="1"/>
  <c r="AN118" i="171"/>
  <c r="M18" i="162" s="1"/>
  <c r="L22" i="171"/>
  <c r="D120" i="171" s="1"/>
  <c r="L83" i="171"/>
  <c r="N83" i="171" s="1"/>
  <c r="L41" i="171"/>
  <c r="G118" i="171" s="1"/>
  <c r="L62" i="171"/>
  <c r="E118" i="171" s="1"/>
  <c r="L20" i="171"/>
  <c r="L85" i="171"/>
  <c r="N85" i="171" s="1"/>
  <c r="L43" i="171"/>
  <c r="N43" i="171" s="1"/>
  <c r="R85" i="171"/>
  <c r="AN120" i="171" s="1"/>
  <c r="M20" i="162" s="1"/>
  <c r="J167" i="171"/>
  <c r="AN106" i="171"/>
  <c r="M6" i="162" s="1"/>
  <c r="G11" i="90" s="1"/>
  <c r="L42" i="171"/>
  <c r="G119" i="171" s="1"/>
  <c r="N19" i="162"/>
  <c r="L84" i="171"/>
  <c r="H119" i="171" s="1"/>
  <c r="L63" i="171"/>
  <c r="E119" i="171" s="1"/>
  <c r="L21" i="171"/>
  <c r="N21" i="171" s="1"/>
  <c r="L8" i="171"/>
  <c r="D106" i="171" s="1"/>
  <c r="L28" i="171"/>
  <c r="N28" i="171" s="1"/>
  <c r="L71" i="171"/>
  <c r="H106" i="171" s="1"/>
  <c r="L50" i="171"/>
  <c r="E106" i="171" s="1"/>
  <c r="L29" i="171"/>
  <c r="G106" i="171" s="1"/>
  <c r="L70" i="171"/>
  <c r="H105" i="171" s="1"/>
  <c r="L75" i="171"/>
  <c r="N75" i="171" s="1"/>
  <c r="R70" i="171"/>
  <c r="AN105" i="171" s="1"/>
  <c r="M5" i="162" s="1"/>
  <c r="J152" i="171"/>
  <c r="L7" i="171"/>
  <c r="N7" i="171" s="1"/>
  <c r="L49" i="171"/>
  <c r="E105" i="171" s="1"/>
  <c r="H169" i="171"/>
  <c r="L30" i="171"/>
  <c r="G107" i="171" s="1"/>
  <c r="L54" i="171"/>
  <c r="N54" i="171" s="1"/>
  <c r="L12" i="171"/>
  <c r="D110" i="171" s="1"/>
  <c r="L51" i="171"/>
  <c r="E107" i="171" s="1"/>
  <c r="L33" i="171"/>
  <c r="G110" i="171" s="1"/>
  <c r="M4" i="162"/>
  <c r="N7" i="162"/>
  <c r="L72" i="171"/>
  <c r="H107" i="171" s="1"/>
  <c r="R72" i="171"/>
  <c r="AN107" i="171" s="1"/>
  <c r="M7" i="162" s="1"/>
  <c r="L35" i="171"/>
  <c r="N35" i="171" s="1"/>
  <c r="L9" i="171"/>
  <c r="I169" i="171"/>
  <c r="G104" i="171"/>
  <c r="N48" i="171"/>
  <c r="L69" i="171"/>
  <c r="H104" i="171" s="1"/>
  <c r="J151" i="171"/>
  <c r="N4" i="162"/>
  <c r="D104" i="171"/>
  <c r="E169" i="171"/>
  <c r="N12" i="162"/>
  <c r="L56" i="171"/>
  <c r="E112" i="171" s="1"/>
  <c r="R77" i="171"/>
  <c r="AN112" i="171" s="1"/>
  <c r="M12" i="162" s="1"/>
  <c r="J159" i="171"/>
  <c r="F169" i="171"/>
  <c r="L77" i="171"/>
  <c r="H112" i="171" s="1"/>
  <c r="G169" i="171"/>
  <c r="L14" i="171"/>
  <c r="N14" i="171" s="1"/>
  <c r="N11" i="162"/>
  <c r="U6" i="162"/>
  <c r="U22" i="162" s="1"/>
  <c r="E26" i="161" s="1"/>
  <c r="X7" i="172"/>
  <c r="R76" i="171"/>
  <c r="AN111" i="171" s="1"/>
  <c r="M11" i="162" s="1"/>
  <c r="L13" i="171"/>
  <c r="D111" i="171" s="1"/>
  <c r="L34" i="171"/>
  <c r="G111" i="171" s="1"/>
  <c r="L55" i="171"/>
  <c r="E111" i="171" s="1"/>
  <c r="L76" i="171"/>
  <c r="H111" i="171" s="1"/>
  <c r="D158" i="171"/>
  <c r="D169" i="171" s="1"/>
  <c r="J8" i="168"/>
  <c r="I92" i="171"/>
  <c r="G11" i="165"/>
  <c r="G9" i="165"/>
  <c r="G12" i="165"/>
  <c r="N19" i="171"/>
  <c r="N37" i="171"/>
  <c r="G7" i="165"/>
  <c r="G14" i="165"/>
  <c r="N6" i="162"/>
  <c r="N59" i="171"/>
  <c r="G116" i="171"/>
  <c r="F115" i="171"/>
  <c r="N52" i="171"/>
  <c r="N80" i="171"/>
  <c r="G117" i="171"/>
  <c r="N40" i="171"/>
  <c r="Q108" i="171"/>
  <c r="N16" i="171"/>
  <c r="N17" i="171"/>
  <c r="X113" i="171"/>
  <c r="N31" i="171"/>
  <c r="N60" i="171"/>
  <c r="X117" i="171"/>
  <c r="R6" i="162"/>
  <c r="R22" i="162" s="1"/>
  <c r="X106" i="171"/>
  <c r="G15" i="58" s="1"/>
  <c r="L22" i="162"/>
  <c r="L24" i="162" s="1"/>
  <c r="V122" i="171"/>
  <c r="G13" i="165"/>
  <c r="H109" i="171"/>
  <c r="E109" i="171"/>
  <c r="N53" i="171"/>
  <c r="D116" i="171"/>
  <c r="F116" i="171" s="1"/>
  <c r="N18" i="171"/>
  <c r="D108" i="171"/>
  <c r="F108" i="171" s="1"/>
  <c r="N10" i="171"/>
  <c r="G115" i="171"/>
  <c r="I115" i="171" s="1"/>
  <c r="N38" i="171"/>
  <c r="Q119" i="171"/>
  <c r="H108" i="171"/>
  <c r="I108" i="171" s="1"/>
  <c r="N73" i="171"/>
  <c r="H114" i="171"/>
  <c r="I114" i="171" s="1"/>
  <c r="N79" i="171"/>
  <c r="E114" i="171"/>
  <c r="F114" i="171" s="1"/>
  <c r="N58" i="171"/>
  <c r="H116" i="171"/>
  <c r="N81" i="171"/>
  <c r="P122" i="171"/>
  <c r="Q104" i="171"/>
  <c r="M122" i="171"/>
  <c r="X122" i="171"/>
  <c r="G24" i="167"/>
  <c r="E12" i="161"/>
  <c r="G8" i="165"/>
  <c r="G10" i="165"/>
  <c r="K33" i="163"/>
  <c r="K34" i="163"/>
  <c r="F34" i="163"/>
  <c r="F33" i="163"/>
  <c r="G33" i="163"/>
  <c r="G34" i="163"/>
  <c r="N82" i="171" l="1"/>
  <c r="E120" i="171"/>
  <c r="D109" i="171"/>
  <c r="H113" i="171"/>
  <c r="I113" i="171" s="1"/>
  <c r="N61" i="171"/>
  <c r="G105" i="171"/>
  <c r="I105" i="171" s="1"/>
  <c r="G120" i="171"/>
  <c r="H118" i="171"/>
  <c r="I118" i="171" s="1"/>
  <c r="N36" i="171"/>
  <c r="N62" i="171"/>
  <c r="G109" i="171"/>
  <c r="I109" i="171" s="1"/>
  <c r="N32" i="171"/>
  <c r="D11" i="90"/>
  <c r="N84" i="171"/>
  <c r="N57" i="171"/>
  <c r="D113" i="171"/>
  <c r="F113" i="171" s="1"/>
  <c r="F120" i="171"/>
  <c r="N22" i="171"/>
  <c r="N41" i="171"/>
  <c r="N63" i="171"/>
  <c r="H120" i="171"/>
  <c r="D118" i="171"/>
  <c r="F118" i="171" s="1"/>
  <c r="N20" i="171"/>
  <c r="I119" i="171"/>
  <c r="N42" i="171"/>
  <c r="N50" i="171"/>
  <c r="D119" i="171"/>
  <c r="F119" i="171" s="1"/>
  <c r="N8" i="171"/>
  <c r="D105" i="171"/>
  <c r="F105" i="171" s="1"/>
  <c r="I106" i="171"/>
  <c r="N71" i="171"/>
  <c r="N51" i="171"/>
  <c r="E110" i="171"/>
  <c r="F110" i="171" s="1"/>
  <c r="G112" i="171"/>
  <c r="I112" i="171" s="1"/>
  <c r="N70" i="171"/>
  <c r="N29" i="171"/>
  <c r="N12" i="171"/>
  <c r="H110" i="171"/>
  <c r="I110" i="171" s="1"/>
  <c r="N72" i="171"/>
  <c r="N30" i="171"/>
  <c r="N27" i="171"/>
  <c r="N33" i="171"/>
  <c r="N49" i="171"/>
  <c r="E104" i="171"/>
  <c r="N56" i="171"/>
  <c r="N69" i="171"/>
  <c r="D107" i="171"/>
  <c r="F107" i="171" s="1"/>
  <c r="N9" i="171"/>
  <c r="N6" i="171"/>
  <c r="J169" i="171"/>
  <c r="N77" i="171"/>
  <c r="M22" i="162"/>
  <c r="D112" i="171"/>
  <c r="F112" i="171" s="1"/>
  <c r="AN122" i="171"/>
  <c r="N22" i="162"/>
  <c r="N55" i="171"/>
  <c r="N34" i="171"/>
  <c r="F111" i="171"/>
  <c r="N13" i="171"/>
  <c r="N76" i="171"/>
  <c r="I116" i="171"/>
  <c r="R116" i="171" s="1"/>
  <c r="T116" i="171" s="1"/>
  <c r="J115" i="171"/>
  <c r="H15" i="162" s="1"/>
  <c r="I111" i="171"/>
  <c r="I117" i="171"/>
  <c r="J117" i="171" s="1"/>
  <c r="H17" i="162" s="1"/>
  <c r="R115" i="171"/>
  <c r="T115" i="171" s="1"/>
  <c r="Q122" i="171"/>
  <c r="F106" i="171"/>
  <c r="I104" i="171"/>
  <c r="R108" i="171"/>
  <c r="T108" i="171" s="1"/>
  <c r="J108" i="171"/>
  <c r="H8" i="162" s="1"/>
  <c r="AF34" i="164" s="1"/>
  <c r="F109" i="171"/>
  <c r="I107" i="171"/>
  <c r="J114" i="171"/>
  <c r="H14" i="162" s="1"/>
  <c r="AF40" i="164" s="1"/>
  <c r="R114" i="171"/>
  <c r="T114" i="171" s="1"/>
  <c r="AF43" i="164" l="1"/>
  <c r="E17" i="162"/>
  <c r="AE43" i="164" s="1"/>
  <c r="O15" i="162"/>
  <c r="AF41" i="164"/>
  <c r="I120" i="171"/>
  <c r="R120" i="171" s="1"/>
  <c r="T120" i="171" s="1"/>
  <c r="R113" i="171"/>
  <c r="T113" i="171" s="1"/>
  <c r="R119" i="171"/>
  <c r="T119" i="171" s="1"/>
  <c r="G122" i="171"/>
  <c r="E122" i="171"/>
  <c r="H122" i="171"/>
  <c r="F104" i="171"/>
  <c r="F122" i="171" s="1"/>
  <c r="D122" i="171"/>
  <c r="R112" i="171"/>
  <c r="T112" i="171" s="1"/>
  <c r="J116" i="171"/>
  <c r="H16" i="162" s="1"/>
  <c r="J111" i="171"/>
  <c r="H11" i="162" s="1"/>
  <c r="R111" i="171"/>
  <c r="T111" i="171" s="1"/>
  <c r="R117" i="171"/>
  <c r="T117" i="171" s="1"/>
  <c r="D15" i="162"/>
  <c r="AD41" i="164" s="1"/>
  <c r="E15" i="162"/>
  <c r="AE41" i="164" s="1"/>
  <c r="C15" i="162"/>
  <c r="J120" i="171"/>
  <c r="H20" i="162" s="1"/>
  <c r="J110" i="171"/>
  <c r="H10" i="162" s="1"/>
  <c r="R110" i="171"/>
  <c r="T110" i="171" s="1"/>
  <c r="J119" i="171"/>
  <c r="H19" i="162" s="1"/>
  <c r="J113" i="171"/>
  <c r="H13" i="162" s="1"/>
  <c r="I122" i="171"/>
  <c r="R118" i="171"/>
  <c r="T118" i="171" s="1"/>
  <c r="J118" i="171"/>
  <c r="H18" i="162" s="1"/>
  <c r="E14" i="162"/>
  <c r="AE40" i="164" s="1"/>
  <c r="C14" i="162"/>
  <c r="O14" i="162"/>
  <c r="D14" i="162"/>
  <c r="AD40" i="164" s="1"/>
  <c r="D8" i="162"/>
  <c r="AD34" i="164" s="1"/>
  <c r="E8" i="162"/>
  <c r="AE34" i="164" s="1"/>
  <c r="O8" i="162"/>
  <c r="C8" i="162"/>
  <c r="O17" i="162"/>
  <c r="D17" i="162"/>
  <c r="AD43" i="164" s="1"/>
  <c r="AH43" i="164" s="1"/>
  <c r="AI43" i="164" s="1"/>
  <c r="AJ43" i="164" s="1"/>
  <c r="C17" i="162"/>
  <c r="R105" i="171"/>
  <c r="T105" i="171" s="1"/>
  <c r="J105" i="171"/>
  <c r="H5" i="162" s="1"/>
  <c r="R109" i="171"/>
  <c r="T109" i="171" s="1"/>
  <c r="J109" i="171"/>
  <c r="H9" i="162" s="1"/>
  <c r="J112" i="171"/>
  <c r="H12" i="162" s="1"/>
  <c r="R107" i="171"/>
  <c r="T107" i="171" s="1"/>
  <c r="J107" i="171"/>
  <c r="H7" i="162" s="1"/>
  <c r="J106" i="171"/>
  <c r="H6" i="162" s="1"/>
  <c r="R106" i="171"/>
  <c r="T106" i="171" s="1"/>
  <c r="C11" i="162" l="1"/>
  <c r="AF37" i="164"/>
  <c r="E11" i="162"/>
  <c r="AE37" i="164" s="1"/>
  <c r="AF36" i="164"/>
  <c r="E10" i="162"/>
  <c r="AE36" i="164" s="1"/>
  <c r="O16" i="162"/>
  <c r="AF42" i="164"/>
  <c r="C20" i="162"/>
  <c r="AF46" i="164"/>
  <c r="E20" i="162"/>
  <c r="AE46" i="164" s="1"/>
  <c r="AF44" i="164"/>
  <c r="E18" i="162"/>
  <c r="AE44" i="164" s="1"/>
  <c r="AF32" i="164"/>
  <c r="E6" i="162"/>
  <c r="AE32" i="164" s="1"/>
  <c r="AF35" i="164"/>
  <c r="E9" i="162"/>
  <c r="AE35" i="164" s="1"/>
  <c r="AF45" i="164"/>
  <c r="E19" i="162"/>
  <c r="AE45" i="164" s="1"/>
  <c r="AF33" i="164"/>
  <c r="E7" i="162"/>
  <c r="AE33" i="164" s="1"/>
  <c r="AF38" i="164"/>
  <c r="E12" i="162"/>
  <c r="AE38" i="164" s="1"/>
  <c r="AF31" i="164"/>
  <c r="E5" i="162"/>
  <c r="AE31" i="164" s="1"/>
  <c r="AF39" i="164"/>
  <c r="E13" i="162"/>
  <c r="AE39" i="164" s="1"/>
  <c r="AH41" i="164"/>
  <c r="AI41" i="164" s="1"/>
  <c r="AJ41" i="164" s="1"/>
  <c r="AH34" i="164"/>
  <c r="AI34" i="164" s="1"/>
  <c r="AJ34" i="164" s="1"/>
  <c r="AH40" i="164"/>
  <c r="AI40" i="164" s="1"/>
  <c r="AJ40" i="164" s="1"/>
  <c r="O19" i="162"/>
  <c r="D19" i="162"/>
  <c r="AD45" i="164" s="1"/>
  <c r="R104" i="171"/>
  <c r="R122" i="171" s="1"/>
  <c r="J104" i="171"/>
  <c r="E16" i="162"/>
  <c r="AE42" i="164" s="1"/>
  <c r="C16" i="162"/>
  <c r="O11" i="162"/>
  <c r="D16" i="162"/>
  <c r="AD42" i="164" s="1"/>
  <c r="D11" i="162"/>
  <c r="AD37" i="164" s="1"/>
  <c r="AH37" i="164" s="1"/>
  <c r="AI37" i="164" s="1"/>
  <c r="AJ37" i="164" s="1"/>
  <c r="D13" i="162"/>
  <c r="AD39" i="164" s="1"/>
  <c r="O20" i="162"/>
  <c r="C10" i="162"/>
  <c r="J15" i="162"/>
  <c r="K15" i="162" s="1"/>
  <c r="C19" i="162"/>
  <c r="O10" i="162"/>
  <c r="D10" i="162"/>
  <c r="D20" i="162"/>
  <c r="AD46" i="164" s="1"/>
  <c r="AH46" i="164" s="1"/>
  <c r="AI46" i="164" s="1"/>
  <c r="AJ46" i="164" s="1"/>
  <c r="C13" i="162"/>
  <c r="O13" i="162"/>
  <c r="D18" i="162"/>
  <c r="AD44" i="164" s="1"/>
  <c r="C18" i="162"/>
  <c r="O18" i="162"/>
  <c r="D10" i="90"/>
  <c r="G10" i="90"/>
  <c r="J8" i="162"/>
  <c r="K8" i="162" s="1"/>
  <c r="D12" i="162"/>
  <c r="AD38" i="164" s="1"/>
  <c r="AH38" i="164" s="1"/>
  <c r="AI38" i="164" s="1"/>
  <c r="AJ38" i="164" s="1"/>
  <c r="O12" i="162"/>
  <c r="C12" i="162"/>
  <c r="C5" i="162"/>
  <c r="D5" i="162"/>
  <c r="AD31" i="164" s="1"/>
  <c r="O5" i="162"/>
  <c r="D9" i="162"/>
  <c r="AD35" i="164" s="1"/>
  <c r="C9" i="162"/>
  <c r="O9" i="162"/>
  <c r="C6" i="162"/>
  <c r="D30" i="90" s="1"/>
  <c r="D6" i="162"/>
  <c r="AD32" i="164" s="1"/>
  <c r="O6" i="162"/>
  <c r="J17" i="162"/>
  <c r="K17" i="162" s="1"/>
  <c r="J14" i="162"/>
  <c r="K14" i="162" s="1"/>
  <c r="J122" i="171"/>
  <c r="H4" i="162"/>
  <c r="D7" i="162"/>
  <c r="AD33" i="164" s="1"/>
  <c r="AH33" i="164" s="1"/>
  <c r="AI33" i="164" s="1"/>
  <c r="AJ33" i="164" s="1"/>
  <c r="O7" i="162"/>
  <c r="C7" i="162"/>
  <c r="D34" i="58" l="1"/>
  <c r="D42" i="90"/>
  <c r="AH32" i="164"/>
  <c r="AI32" i="164" s="1"/>
  <c r="AJ32" i="164" s="1"/>
  <c r="AH44" i="164"/>
  <c r="AI44" i="164" s="1"/>
  <c r="AJ44" i="164" s="1"/>
  <c r="AF30" i="164"/>
  <c r="AF48" i="164" s="1"/>
  <c r="E4" i="162"/>
  <c r="AE30" i="164" s="1"/>
  <c r="AH35" i="164"/>
  <c r="AI35" i="164" s="1"/>
  <c r="AJ35" i="164" s="1"/>
  <c r="AH31" i="164"/>
  <c r="AI31" i="164" s="1"/>
  <c r="AJ31" i="164" s="1"/>
  <c r="T104" i="171"/>
  <c r="T122" i="171" s="1"/>
  <c r="AE48" i="164"/>
  <c r="AH42" i="164"/>
  <c r="AI42" i="164" s="1"/>
  <c r="AJ42" i="164" s="1"/>
  <c r="J10" i="162"/>
  <c r="K10" i="162" s="1"/>
  <c r="AD36" i="164"/>
  <c r="AH36" i="164" s="1"/>
  <c r="AI36" i="164" s="1"/>
  <c r="AJ36" i="164" s="1"/>
  <c r="G19" i="162"/>
  <c r="G13" i="162"/>
  <c r="AG39" i="164" s="1"/>
  <c r="J16" i="162"/>
  <c r="K16" i="162" s="1"/>
  <c r="J20" i="162"/>
  <c r="K20" i="162" s="1"/>
  <c r="D9" i="90"/>
  <c r="G9" i="90"/>
  <c r="D8" i="90"/>
  <c r="G8" i="90"/>
  <c r="J18" i="162"/>
  <c r="K18" i="162" s="1"/>
  <c r="J12" i="162"/>
  <c r="K12" i="162" s="1"/>
  <c r="J7" i="162"/>
  <c r="K7" i="162" s="1"/>
  <c r="J6" i="162"/>
  <c r="K6" i="162" s="1"/>
  <c r="D14" i="90" s="1"/>
  <c r="H22" i="162"/>
  <c r="H24" i="162" s="1"/>
  <c r="C4" i="162"/>
  <c r="O4" i="162"/>
  <c r="D4" i="162"/>
  <c r="AD30" i="164" s="1"/>
  <c r="J5" i="162"/>
  <c r="K5" i="162" s="1"/>
  <c r="J9" i="162"/>
  <c r="K9" i="162" s="1"/>
  <c r="J19" i="162" l="1"/>
  <c r="K19" i="162" s="1"/>
  <c r="AG45" i="164"/>
  <c r="AH45" i="164" s="1"/>
  <c r="AI45" i="164" s="1"/>
  <c r="AJ45" i="164" s="1"/>
  <c r="AH30" i="164"/>
  <c r="AD48" i="164"/>
  <c r="AH39" i="164"/>
  <c r="AI39" i="164" s="1"/>
  <c r="AJ39" i="164" s="1"/>
  <c r="G22" i="162"/>
  <c r="E6" i="161" s="1"/>
  <c r="J13" i="162"/>
  <c r="D22" i="162"/>
  <c r="D24" i="162" s="1"/>
  <c r="J4" i="162"/>
  <c r="C14" i="161"/>
  <c r="C12" i="161"/>
  <c r="C10" i="161"/>
  <c r="G10" i="161" s="1"/>
  <c r="C6" i="161"/>
  <c r="C5" i="161"/>
  <c r="G21" i="161"/>
  <c r="G20" i="161"/>
  <c r="G19" i="161"/>
  <c r="G5" i="161"/>
  <c r="H12" i="142"/>
  <c r="K67" i="155"/>
  <c r="K69" i="155" s="1"/>
  <c r="H87" i="155"/>
  <c r="H89" i="155" s="1"/>
  <c r="J123" i="155"/>
  <c r="J133" i="155"/>
  <c r="F67" i="155"/>
  <c r="F69" i="155" s="1"/>
  <c r="K123" i="155"/>
  <c r="B4" i="155"/>
  <c r="B5" i="155"/>
  <c r="B6" i="155"/>
  <c r="B7" i="155"/>
  <c r="F8" i="155"/>
  <c r="F10" i="155" s="1"/>
  <c r="F8" i="163" s="1"/>
  <c r="F10" i="163" s="1"/>
  <c r="G8" i="155"/>
  <c r="G10" i="155" s="1"/>
  <c r="G8" i="163" s="1"/>
  <c r="G10" i="163" s="1"/>
  <c r="H8" i="155"/>
  <c r="H10" i="155" s="1"/>
  <c r="H8" i="163" s="1"/>
  <c r="H10" i="163" s="1"/>
  <c r="I8" i="155"/>
  <c r="I10" i="155" s="1"/>
  <c r="I8" i="163" s="1"/>
  <c r="I10" i="163" s="1"/>
  <c r="J8" i="155"/>
  <c r="J10" i="155" s="1"/>
  <c r="J8" i="163" s="1"/>
  <c r="J10" i="163" s="1"/>
  <c r="K8" i="155"/>
  <c r="K10" i="155" s="1"/>
  <c r="K8" i="163" s="1"/>
  <c r="K10" i="163" s="1"/>
  <c r="B9" i="155"/>
  <c r="B11" i="155"/>
  <c r="B14" i="155"/>
  <c r="B15" i="155"/>
  <c r="D15" i="155"/>
  <c r="B16" i="155"/>
  <c r="B17" i="155"/>
  <c r="F18" i="155"/>
  <c r="F20" i="155" s="1"/>
  <c r="G18" i="155"/>
  <c r="G20" i="155" s="1"/>
  <c r="H18" i="155"/>
  <c r="H20" i="155" s="1"/>
  <c r="J18" i="155"/>
  <c r="J20" i="155" s="1"/>
  <c r="K18" i="155"/>
  <c r="K20" i="155" s="1"/>
  <c r="B19" i="155"/>
  <c r="B21" i="155"/>
  <c r="B24" i="155"/>
  <c r="B25" i="155"/>
  <c r="D25" i="155"/>
  <c r="B26" i="155"/>
  <c r="B27" i="155"/>
  <c r="F28" i="155"/>
  <c r="F30" i="155" s="1"/>
  <c r="I28" i="155"/>
  <c r="I30" i="155" s="1"/>
  <c r="J28" i="155"/>
  <c r="J30" i="155" s="1"/>
  <c r="K28" i="155"/>
  <c r="K30" i="155" s="1"/>
  <c r="B29" i="155"/>
  <c r="B31" i="155"/>
  <c r="B33" i="155"/>
  <c r="L33" i="155"/>
  <c r="B34" i="155"/>
  <c r="D34" i="155"/>
  <c r="E34" i="155"/>
  <c r="G34" i="155" s="1"/>
  <c r="B35" i="155"/>
  <c r="B36" i="155"/>
  <c r="B38" i="155"/>
  <c r="B40" i="155"/>
  <c r="B43" i="155"/>
  <c r="B44" i="155"/>
  <c r="D44" i="155"/>
  <c r="B45" i="155"/>
  <c r="B46" i="155"/>
  <c r="H47" i="155"/>
  <c r="H49" i="155" s="1"/>
  <c r="I47" i="155"/>
  <c r="I49" i="155" s="1"/>
  <c r="J47" i="155"/>
  <c r="J49" i="155" s="1"/>
  <c r="B48" i="155"/>
  <c r="B50" i="155"/>
  <c r="B53" i="155"/>
  <c r="B54" i="155"/>
  <c r="D54" i="155"/>
  <c r="B55" i="155"/>
  <c r="B56" i="155"/>
  <c r="F57" i="155"/>
  <c r="F59" i="155" s="1"/>
  <c r="H57" i="155"/>
  <c r="H59" i="155" s="1"/>
  <c r="K57" i="155"/>
  <c r="K59" i="155" s="1"/>
  <c r="B58" i="155"/>
  <c r="B60" i="155"/>
  <c r="B63" i="155"/>
  <c r="B64" i="155"/>
  <c r="D64" i="155"/>
  <c r="B65" i="155"/>
  <c r="B66" i="155"/>
  <c r="H67" i="155"/>
  <c r="H69" i="155" s="1"/>
  <c r="I67" i="155"/>
  <c r="I69" i="155" s="1"/>
  <c r="B68" i="155"/>
  <c r="B70" i="155"/>
  <c r="B73" i="155"/>
  <c r="B74" i="155"/>
  <c r="D74" i="155"/>
  <c r="B75" i="155"/>
  <c r="B76" i="155"/>
  <c r="F77" i="155"/>
  <c r="F79" i="155" s="1"/>
  <c r="K77" i="155"/>
  <c r="K79" i="155" s="1"/>
  <c r="B78" i="155"/>
  <c r="B80" i="155"/>
  <c r="B83" i="155"/>
  <c r="B84" i="155"/>
  <c r="D84" i="155"/>
  <c r="B85" i="155"/>
  <c r="B86" i="155"/>
  <c r="G87" i="155"/>
  <c r="G89" i="155" s="1"/>
  <c r="I87" i="155"/>
  <c r="I89" i="155" s="1"/>
  <c r="J87" i="155"/>
  <c r="J89" i="155" s="1"/>
  <c r="B88" i="155"/>
  <c r="B90" i="155"/>
  <c r="B93" i="155"/>
  <c r="B94" i="155"/>
  <c r="D94" i="155"/>
  <c r="B95" i="155"/>
  <c r="B96" i="155"/>
  <c r="F97" i="155"/>
  <c r="F99" i="155" s="1"/>
  <c r="K97" i="155"/>
  <c r="K99" i="155" s="1"/>
  <c r="B98" i="155"/>
  <c r="B100" i="155"/>
  <c r="B103" i="155"/>
  <c r="B104" i="155"/>
  <c r="D104" i="155"/>
  <c r="B105" i="155"/>
  <c r="B106" i="155"/>
  <c r="F107" i="155"/>
  <c r="F109" i="155" s="1"/>
  <c r="G107" i="155"/>
  <c r="G109" i="155" s="1"/>
  <c r="H107" i="155"/>
  <c r="H109" i="155" s="1"/>
  <c r="I107" i="155"/>
  <c r="I109" i="155" s="1"/>
  <c r="B108" i="155"/>
  <c r="B110" i="155"/>
  <c r="B113" i="155"/>
  <c r="B114" i="155"/>
  <c r="D114" i="155"/>
  <c r="B115" i="155"/>
  <c r="B116" i="155"/>
  <c r="G117" i="155"/>
  <c r="G119" i="155" s="1"/>
  <c r="H117" i="155"/>
  <c r="H119" i="155" s="1"/>
  <c r="B118" i="155"/>
  <c r="B120" i="155"/>
  <c r="B123" i="155"/>
  <c r="B124" i="155"/>
  <c r="D124" i="155"/>
  <c r="B125" i="155"/>
  <c r="B126" i="155"/>
  <c r="F127" i="155"/>
  <c r="F129" i="155" s="1"/>
  <c r="H127" i="155"/>
  <c r="H129" i="155" s="1"/>
  <c r="I127" i="155"/>
  <c r="I129" i="155" s="1"/>
  <c r="K127" i="155"/>
  <c r="K129" i="155" s="1"/>
  <c r="B128" i="155"/>
  <c r="B130" i="155"/>
  <c r="B133" i="155"/>
  <c r="B134" i="155"/>
  <c r="D134" i="155"/>
  <c r="B135" i="155"/>
  <c r="B136" i="155"/>
  <c r="F137" i="155"/>
  <c r="F139" i="155" s="1"/>
  <c r="G137" i="155"/>
  <c r="G139" i="155" s="1"/>
  <c r="B138" i="155"/>
  <c r="B140" i="155"/>
  <c r="B143" i="155"/>
  <c r="B144" i="155"/>
  <c r="D144" i="155"/>
  <c r="B145" i="155"/>
  <c r="B146" i="155"/>
  <c r="I147" i="155"/>
  <c r="I149" i="155" s="1"/>
  <c r="J147" i="155"/>
  <c r="J149" i="155" s="1"/>
  <c r="K147" i="155"/>
  <c r="K149" i="155" s="1"/>
  <c r="B148" i="155"/>
  <c r="B150" i="155"/>
  <c r="B153" i="155"/>
  <c r="B154" i="155"/>
  <c r="D154" i="155"/>
  <c r="B155" i="155"/>
  <c r="B156" i="155"/>
  <c r="I157" i="155"/>
  <c r="I159" i="155" s="1"/>
  <c r="J157" i="155"/>
  <c r="J159" i="155" s="1"/>
  <c r="B158" i="155"/>
  <c r="B160" i="155"/>
  <c r="B163" i="155"/>
  <c r="B164" i="155"/>
  <c r="D164" i="155"/>
  <c r="B165" i="155"/>
  <c r="B166" i="155"/>
  <c r="J167" i="155"/>
  <c r="J169" i="155" s="1"/>
  <c r="K167" i="155"/>
  <c r="K169" i="155" s="1"/>
  <c r="B168" i="155"/>
  <c r="B170" i="155"/>
  <c r="B173" i="155"/>
  <c r="B174" i="155"/>
  <c r="D174" i="155"/>
  <c r="B175" i="155"/>
  <c r="B176" i="155"/>
  <c r="B178" i="155"/>
  <c r="B180" i="155"/>
  <c r="I4" i="148"/>
  <c r="J4" i="148"/>
  <c r="I5" i="148"/>
  <c r="J5" i="148"/>
  <c r="I6" i="148"/>
  <c r="J6" i="148"/>
  <c r="I7" i="148"/>
  <c r="J7" i="148"/>
  <c r="J22" i="148" s="1"/>
  <c r="I8" i="148"/>
  <c r="J8" i="148"/>
  <c r="I9" i="148"/>
  <c r="J9" i="148"/>
  <c r="I10" i="148"/>
  <c r="J10" i="148"/>
  <c r="I11" i="148"/>
  <c r="J11" i="148"/>
  <c r="I12" i="148"/>
  <c r="J12" i="148"/>
  <c r="G13" i="148"/>
  <c r="I13" i="148"/>
  <c r="J13" i="148"/>
  <c r="I14" i="148"/>
  <c r="J14" i="148"/>
  <c r="G15" i="148"/>
  <c r="G22" i="148" s="1"/>
  <c r="I15" i="148"/>
  <c r="J15" i="148"/>
  <c r="I16" i="148"/>
  <c r="J16" i="148"/>
  <c r="I17" i="148"/>
  <c r="J17" i="148"/>
  <c r="I18" i="148"/>
  <c r="J18" i="148"/>
  <c r="I19" i="148"/>
  <c r="J19" i="148"/>
  <c r="I20" i="148"/>
  <c r="J20" i="148"/>
  <c r="F22" i="148"/>
  <c r="W22" i="148"/>
  <c r="X22" i="148"/>
  <c r="D47" i="148"/>
  <c r="F72" i="148"/>
  <c r="P72" i="148"/>
  <c r="G24" i="162" l="1"/>
  <c r="AI30" i="164"/>
  <c r="AH48" i="164"/>
  <c r="AG48" i="164"/>
  <c r="G14" i="161"/>
  <c r="C15" i="161"/>
  <c r="G6" i="161"/>
  <c r="G12" i="161"/>
  <c r="G15" i="161" s="1"/>
  <c r="E15" i="161"/>
  <c r="K34" i="155"/>
  <c r="F34" i="155"/>
  <c r="K177" i="155"/>
  <c r="K179" i="155" s="1"/>
  <c r="G57" i="155"/>
  <c r="G59" i="155" s="1"/>
  <c r="G73" i="155"/>
  <c r="G77" i="155"/>
  <c r="G79" i="155" s="1"/>
  <c r="K47" i="155"/>
  <c r="K49" i="155" s="1"/>
  <c r="I18" i="155"/>
  <c r="I20" i="155" s="1"/>
  <c r="G103" i="155"/>
  <c r="G43" i="155"/>
  <c r="I4" i="155"/>
  <c r="J24" i="155"/>
  <c r="J83" i="155"/>
  <c r="H77" i="155"/>
  <c r="H79" i="155" s="1"/>
  <c r="F147" i="155"/>
  <c r="F149" i="155" s="1"/>
  <c r="H97" i="155"/>
  <c r="H99" i="155" s="1"/>
  <c r="J57" i="155"/>
  <c r="J59" i="155" s="1"/>
  <c r="K93" i="155"/>
  <c r="K137" i="155"/>
  <c r="K139" i="155" s="1"/>
  <c r="G97" i="155"/>
  <c r="G99" i="155" s="1"/>
  <c r="I57" i="155"/>
  <c r="I59" i="155" s="1"/>
  <c r="G47" i="155"/>
  <c r="G49" i="155" s="1"/>
  <c r="H123" i="155"/>
  <c r="G83" i="155"/>
  <c r="I24" i="155"/>
  <c r="J103" i="155"/>
  <c r="J137" i="155"/>
  <c r="J139" i="155" s="1"/>
  <c r="K87" i="155"/>
  <c r="K89" i="155" s="1"/>
  <c r="I143" i="155"/>
  <c r="K73" i="155"/>
  <c r="G4" i="155"/>
  <c r="J163" i="155"/>
  <c r="J117" i="155"/>
  <c r="J119" i="155" s="1"/>
  <c r="J67" i="155"/>
  <c r="J69" i="155" s="1"/>
  <c r="G63" i="155"/>
  <c r="G24" i="155"/>
  <c r="J4" i="155"/>
  <c r="K157" i="155"/>
  <c r="K159" i="155" s="1"/>
  <c r="I77" i="155"/>
  <c r="I79" i="155" s="1"/>
  <c r="G28" i="155"/>
  <c r="G30" i="155" s="1"/>
  <c r="J177" i="155"/>
  <c r="J179" i="155" s="1"/>
  <c r="I167" i="155"/>
  <c r="I169" i="155" s="1"/>
  <c r="I163" i="155"/>
  <c r="H167" i="155"/>
  <c r="H169" i="155" s="1"/>
  <c r="F117" i="155"/>
  <c r="F119" i="155" s="1"/>
  <c r="H173" i="155"/>
  <c r="H177" i="155"/>
  <c r="H179" i="155" s="1"/>
  <c r="G157" i="155"/>
  <c r="G159" i="155" s="1"/>
  <c r="H133" i="155"/>
  <c r="H137" i="155"/>
  <c r="H139" i="155" s="1"/>
  <c r="K117" i="155"/>
  <c r="K119" i="155" s="1"/>
  <c r="G167" i="155"/>
  <c r="G169" i="155" s="1"/>
  <c r="G163" i="155"/>
  <c r="F167" i="155"/>
  <c r="F169" i="155" s="1"/>
  <c r="G143" i="155"/>
  <c r="G147" i="155"/>
  <c r="G149" i="155" s="1"/>
  <c r="I177" i="155"/>
  <c r="I179" i="155" s="1"/>
  <c r="G177" i="155"/>
  <c r="G179" i="155" s="1"/>
  <c r="F177" i="155"/>
  <c r="F179" i="155" s="1"/>
  <c r="F157" i="155"/>
  <c r="F159" i="155" s="1"/>
  <c r="J107" i="155"/>
  <c r="J109" i="155" s="1"/>
  <c r="G123" i="155"/>
  <c r="G127" i="155"/>
  <c r="G129" i="155" s="1"/>
  <c r="J127" i="155"/>
  <c r="J129" i="155" s="1"/>
  <c r="H163" i="155"/>
  <c r="G53" i="155"/>
  <c r="J153" i="155"/>
  <c r="J113" i="155"/>
  <c r="K107" i="155"/>
  <c r="K109" i="155" s="1"/>
  <c r="I97" i="155"/>
  <c r="I99" i="155" s="1"/>
  <c r="I53" i="155"/>
  <c r="H157" i="155"/>
  <c r="H159" i="155" s="1"/>
  <c r="I137" i="155"/>
  <c r="I139" i="155" s="1"/>
  <c r="G67" i="155"/>
  <c r="G69" i="155" s="1"/>
  <c r="H113" i="155"/>
  <c r="K53" i="155"/>
  <c r="I73" i="155"/>
  <c r="F143" i="155"/>
  <c r="I123" i="155"/>
  <c r="J43" i="155"/>
  <c r="H153" i="155"/>
  <c r="I93" i="155"/>
  <c r="I22" i="148"/>
  <c r="I72" i="148" s="1"/>
  <c r="L34" i="155"/>
  <c r="J34" i="155"/>
  <c r="I34" i="155"/>
  <c r="H34" i="155"/>
  <c r="G24" i="148"/>
  <c r="G72" i="148"/>
  <c r="J24" i="148"/>
  <c r="J72" i="148"/>
  <c r="S24" i="144"/>
  <c r="S23" i="144"/>
  <c r="S22" i="144"/>
  <c r="S20" i="144"/>
  <c r="S17" i="144"/>
  <c r="S14" i="144"/>
  <c r="S12" i="144"/>
  <c r="S7" i="144"/>
  <c r="G21" i="151"/>
  <c r="AI48" i="164" l="1"/>
  <c r="AJ30" i="164"/>
  <c r="AJ48" i="164" s="1"/>
  <c r="J93" i="155"/>
  <c r="H43" i="155"/>
  <c r="H103" i="155"/>
  <c r="K163" i="155"/>
  <c r="I153" i="155"/>
  <c r="H63" i="155"/>
  <c r="H14" i="155"/>
  <c r="J63" i="155"/>
  <c r="F123" i="155"/>
  <c r="H4" i="155"/>
  <c r="I173" i="155"/>
  <c r="K103" i="155"/>
  <c r="H93" i="155"/>
  <c r="J53" i="155"/>
  <c r="I14" i="155"/>
  <c r="H83" i="155"/>
  <c r="E123" i="155"/>
  <c r="K113" i="155"/>
  <c r="G93" i="155"/>
  <c r="K143" i="155"/>
  <c r="H28" i="155"/>
  <c r="H30" i="155" s="1"/>
  <c r="H24" i="155"/>
  <c r="K4" i="155"/>
  <c r="K133" i="155"/>
  <c r="F163" i="155"/>
  <c r="J97" i="155"/>
  <c r="J99" i="155" s="1"/>
  <c r="I103" i="155"/>
  <c r="J173" i="155"/>
  <c r="I43" i="155"/>
  <c r="H147" i="155"/>
  <c r="H149" i="155" s="1"/>
  <c r="I117" i="155"/>
  <c r="I119" i="155" s="1"/>
  <c r="I83" i="155"/>
  <c r="G14" i="155"/>
  <c r="I113" i="155"/>
  <c r="F47" i="155"/>
  <c r="F49" i="155" s="1"/>
  <c r="F87" i="155"/>
  <c r="F89" i="155" s="1"/>
  <c r="G173" i="155"/>
  <c r="K173" i="155"/>
  <c r="I63" i="155"/>
  <c r="J143" i="155"/>
  <c r="K43" i="155"/>
  <c r="K63" i="155"/>
  <c r="H53" i="155"/>
  <c r="I133" i="155"/>
  <c r="K153" i="155"/>
  <c r="K14" i="155"/>
  <c r="K24" i="155"/>
  <c r="H73" i="155"/>
  <c r="J14" i="155"/>
  <c r="K83" i="155"/>
  <c r="J77" i="155"/>
  <c r="J79" i="155" s="1"/>
  <c r="J73" i="155"/>
  <c r="F93" i="155" l="1"/>
  <c r="F73" i="155"/>
  <c r="E73" i="155" s="1"/>
  <c r="G153" i="155"/>
  <c r="F83" i="155"/>
  <c r="E83" i="155" s="1"/>
  <c r="G113" i="155"/>
  <c r="G133" i="155"/>
  <c r="E163" i="155"/>
  <c r="F63" i="155"/>
  <c r="E63" i="155" s="1"/>
  <c r="F53" i="155"/>
  <c r="E53" i="155" s="1"/>
  <c r="F43" i="155"/>
  <c r="E43" i="155" s="1"/>
  <c r="F24" i="155"/>
  <c r="E24" i="155" s="1"/>
  <c r="F14" i="155"/>
  <c r="E14" i="155" s="1"/>
  <c r="F103" i="155"/>
  <c r="E103" i="155" s="1"/>
  <c r="F153" i="155"/>
  <c r="F4" i="155"/>
  <c r="E4" i="155" s="1"/>
  <c r="F173" i="155"/>
  <c r="E173" i="155" s="1"/>
  <c r="F133" i="155"/>
  <c r="F113" i="155"/>
  <c r="H143" i="155"/>
  <c r="E143" i="155" s="1"/>
  <c r="O123" i="155"/>
  <c r="E93" i="155"/>
  <c r="D6" i="119"/>
  <c r="O6" i="119" s="1"/>
  <c r="D7" i="119"/>
  <c r="D8" i="119"/>
  <c r="D9" i="119"/>
  <c r="D10" i="119"/>
  <c r="D11" i="119"/>
  <c r="D12" i="119"/>
  <c r="G11" i="119" l="1"/>
  <c r="H11" i="119"/>
  <c r="J11" i="119"/>
  <c r="L11" i="119"/>
  <c r="I11" i="119"/>
  <c r="K11" i="119"/>
  <c r="L10" i="119"/>
  <c r="K10" i="119"/>
  <c r="J10" i="119"/>
  <c r="I10" i="119"/>
  <c r="H10" i="119"/>
  <c r="G10" i="119"/>
  <c r="K9" i="119"/>
  <c r="J9" i="119"/>
  <c r="I9" i="119"/>
  <c r="H9" i="119"/>
  <c r="G9" i="119"/>
  <c r="L9" i="119"/>
  <c r="F7" i="119"/>
  <c r="M6" i="119"/>
  <c r="L6" i="119"/>
  <c r="K6" i="119"/>
  <c r="J6" i="119"/>
  <c r="I6" i="119"/>
  <c r="H6" i="119"/>
  <c r="G6" i="119"/>
  <c r="F6" i="119"/>
  <c r="E133" i="155"/>
  <c r="O163" i="155"/>
  <c r="E153" i="155"/>
  <c r="E113" i="155"/>
  <c r="O83" i="155"/>
  <c r="O14" i="155"/>
  <c r="O173" i="155"/>
  <c r="O153" i="155"/>
  <c r="O4" i="155"/>
  <c r="O24" i="155"/>
  <c r="O63" i="155"/>
  <c r="O73" i="155"/>
  <c r="O143" i="155"/>
  <c r="O53" i="155"/>
  <c r="O103" i="155"/>
  <c r="O113" i="155"/>
  <c r="O133" i="155"/>
  <c r="O93" i="155"/>
  <c r="O43" i="155"/>
  <c r="L186" i="155" l="1"/>
  <c r="G3" i="160" l="1"/>
  <c r="O49" i="158" l="1"/>
  <c r="G49" i="158"/>
  <c r="F49" i="158"/>
  <c r="D49" i="158"/>
  <c r="H47" i="158"/>
  <c r="I47" i="158" s="1"/>
  <c r="J47" i="158" s="1"/>
  <c r="K47" i="158" s="1"/>
  <c r="L47" i="158" s="1"/>
  <c r="M47" i="158" s="1"/>
  <c r="H46" i="158"/>
  <c r="I46" i="158" s="1"/>
  <c r="J46" i="158" s="1"/>
  <c r="K46" i="158" s="1"/>
  <c r="E46" i="158"/>
  <c r="H45" i="158"/>
  <c r="I45" i="158" s="1"/>
  <c r="J45" i="158" s="1"/>
  <c r="K45" i="158" s="1"/>
  <c r="E45" i="158"/>
  <c r="H44" i="158"/>
  <c r="I44" i="158" s="1"/>
  <c r="J44" i="158" s="1"/>
  <c r="K44" i="158" s="1"/>
  <c r="E44" i="158"/>
  <c r="H43" i="158"/>
  <c r="I43" i="158" s="1"/>
  <c r="J43" i="158" s="1"/>
  <c r="K43" i="158" s="1"/>
  <c r="E43" i="158"/>
  <c r="H42" i="158"/>
  <c r="I42" i="158" s="1"/>
  <c r="J42" i="158" s="1"/>
  <c r="K42" i="158" s="1"/>
  <c r="E42" i="158"/>
  <c r="H41" i="158"/>
  <c r="I41" i="158" s="1"/>
  <c r="J41" i="158" s="1"/>
  <c r="K41" i="158" s="1"/>
  <c r="E41" i="158"/>
  <c r="H40" i="158"/>
  <c r="I40" i="158" s="1"/>
  <c r="J40" i="158" s="1"/>
  <c r="K40" i="158" s="1"/>
  <c r="E40" i="158"/>
  <c r="H39" i="158"/>
  <c r="I39" i="158" s="1"/>
  <c r="K39" i="158" s="1"/>
  <c r="E39" i="158"/>
  <c r="H38" i="158"/>
  <c r="I38" i="158" s="1"/>
  <c r="J38" i="158" s="1"/>
  <c r="K38" i="158" s="1"/>
  <c r="E38" i="158"/>
  <c r="H37" i="158"/>
  <c r="I37" i="158" s="1"/>
  <c r="J37" i="158" s="1"/>
  <c r="K37" i="158" s="1"/>
  <c r="E37" i="158"/>
  <c r="H36" i="158"/>
  <c r="I36" i="158" s="1"/>
  <c r="J36" i="158" s="1"/>
  <c r="K36" i="158" s="1"/>
  <c r="E36" i="158"/>
  <c r="H35" i="158"/>
  <c r="I35" i="158" s="1"/>
  <c r="J35" i="158" s="1"/>
  <c r="K35" i="158" s="1"/>
  <c r="E35" i="158"/>
  <c r="H34" i="158"/>
  <c r="I34" i="158" s="1"/>
  <c r="J34" i="158" s="1"/>
  <c r="K34" i="158" s="1"/>
  <c r="E34" i="158"/>
  <c r="H33" i="158"/>
  <c r="I33" i="158" s="1"/>
  <c r="J33" i="158" s="1"/>
  <c r="K33" i="158" s="1"/>
  <c r="E33" i="158"/>
  <c r="H32" i="158"/>
  <c r="I32" i="158" s="1"/>
  <c r="J32" i="158" s="1"/>
  <c r="K32" i="158" s="1"/>
  <c r="E32" i="158"/>
  <c r="H31" i="158"/>
  <c r="I31" i="158" s="1"/>
  <c r="J31" i="158" s="1"/>
  <c r="K31" i="158" s="1"/>
  <c r="E31" i="158"/>
  <c r="L31" i="158" s="1"/>
  <c r="M31" i="158" s="1"/>
  <c r="H30" i="158"/>
  <c r="E30" i="158"/>
  <c r="U26" i="158"/>
  <c r="T26" i="158"/>
  <c r="V25" i="158"/>
  <c r="V24" i="158"/>
  <c r="V23" i="158"/>
  <c r="V22" i="158"/>
  <c r="P22" i="158"/>
  <c r="O22" i="158"/>
  <c r="V21" i="158"/>
  <c r="D21" i="158"/>
  <c r="V20" i="158"/>
  <c r="G19" i="158" s="1"/>
  <c r="V19" i="158"/>
  <c r="G18" i="158" s="1"/>
  <c r="F19" i="158"/>
  <c r="E19" i="158"/>
  <c r="V18" i="158"/>
  <c r="G17" i="158" s="1"/>
  <c r="F18" i="158"/>
  <c r="E18" i="158"/>
  <c r="V17" i="158"/>
  <c r="G16" i="158" s="1"/>
  <c r="F17" i="158"/>
  <c r="E17" i="158"/>
  <c r="V16" i="158"/>
  <c r="G15" i="158" s="1"/>
  <c r="F16" i="158"/>
  <c r="E16" i="158"/>
  <c r="V15" i="158"/>
  <c r="G14" i="158" s="1"/>
  <c r="F15" i="158"/>
  <c r="E15" i="158"/>
  <c r="V14" i="158"/>
  <c r="G13" i="158" s="1"/>
  <c r="F14" i="158"/>
  <c r="E14" i="158"/>
  <c r="V13" i="158"/>
  <c r="F13" i="158"/>
  <c r="E13" i="158"/>
  <c r="V12" i="158"/>
  <c r="G11" i="158" s="1"/>
  <c r="F12" i="158"/>
  <c r="E12" i="158"/>
  <c r="V11" i="158"/>
  <c r="G10" i="158" s="1"/>
  <c r="F11" i="158"/>
  <c r="E11" i="158"/>
  <c r="V10" i="158"/>
  <c r="G9" i="158" s="1"/>
  <c r="F10" i="158"/>
  <c r="E10" i="158"/>
  <c r="V9" i="158"/>
  <c r="G8" i="158" s="1"/>
  <c r="F9" i="158"/>
  <c r="E9" i="158"/>
  <c r="V8" i="158"/>
  <c r="G7" i="158" s="1"/>
  <c r="F8" i="158"/>
  <c r="H8" i="158" s="1"/>
  <c r="I8" i="158" s="1"/>
  <c r="J8" i="158" s="1"/>
  <c r="E8" i="158"/>
  <c r="V7" i="158"/>
  <c r="G6" i="158" s="1"/>
  <c r="F7" i="158"/>
  <c r="E7" i="158"/>
  <c r="V6" i="158"/>
  <c r="F6" i="158"/>
  <c r="E6" i="158"/>
  <c r="V5" i="158"/>
  <c r="G5" i="158" s="1"/>
  <c r="F5" i="158"/>
  <c r="E5" i="158"/>
  <c r="V4" i="158"/>
  <c r="G4" i="158" s="1"/>
  <c r="F4" i="158"/>
  <c r="E4" i="158"/>
  <c r="V3" i="158"/>
  <c r="F3" i="158"/>
  <c r="E3" i="158"/>
  <c r="L39" i="158" l="1"/>
  <c r="M39" i="158" s="1"/>
  <c r="L34" i="158"/>
  <c r="M34" i="158" s="1"/>
  <c r="H19" i="158"/>
  <c r="I19" i="158" s="1"/>
  <c r="J19" i="158" s="1"/>
  <c r="K19" i="158" s="1"/>
  <c r="L19" i="158" s="1"/>
  <c r="L42" i="158"/>
  <c r="M42" i="158" s="1"/>
  <c r="E21" i="158"/>
  <c r="H18" i="158"/>
  <c r="I18" i="158" s="1"/>
  <c r="J18" i="158" s="1"/>
  <c r="K18" i="158" s="1"/>
  <c r="L18" i="158" s="1"/>
  <c r="L41" i="158"/>
  <c r="M41" i="158" s="1"/>
  <c r="L35" i="158"/>
  <c r="M35" i="158" s="1"/>
  <c r="K8" i="158"/>
  <c r="L8" i="158" s="1"/>
  <c r="L43" i="158"/>
  <c r="M43" i="158" s="1"/>
  <c r="G12" i="158"/>
  <c r="H12" i="158" s="1"/>
  <c r="I12" i="158" s="1"/>
  <c r="J12" i="158" s="1"/>
  <c r="K12" i="158" s="1"/>
  <c r="L12" i="158" s="1"/>
  <c r="H17" i="158"/>
  <c r="I17" i="158" s="1"/>
  <c r="J17" i="158" s="1"/>
  <c r="K17" i="158" s="1"/>
  <c r="L17" i="158" s="1"/>
  <c r="H7" i="158"/>
  <c r="I7" i="158" s="1"/>
  <c r="J7" i="158" s="1"/>
  <c r="K7" i="158" s="1"/>
  <c r="L7" i="158" s="1"/>
  <c r="H11" i="158"/>
  <c r="I11" i="158" s="1"/>
  <c r="J11" i="158" s="1"/>
  <c r="K11" i="158" s="1"/>
  <c r="L11" i="158" s="1"/>
  <c r="H15" i="158"/>
  <c r="I15" i="158" s="1"/>
  <c r="J15" i="158" s="1"/>
  <c r="K15" i="158" s="1"/>
  <c r="L15" i="158" s="1"/>
  <c r="H13" i="158"/>
  <c r="I13" i="158" s="1"/>
  <c r="J13" i="158" s="1"/>
  <c r="K13" i="158" s="1"/>
  <c r="L13" i="158" s="1"/>
  <c r="H6" i="158"/>
  <c r="I6" i="158" s="1"/>
  <c r="J6" i="158" s="1"/>
  <c r="K6" i="158" s="1"/>
  <c r="L6" i="158" s="1"/>
  <c r="H14" i="158"/>
  <c r="I14" i="158" s="1"/>
  <c r="J14" i="158" s="1"/>
  <c r="K14" i="158" s="1"/>
  <c r="L14" i="158" s="1"/>
  <c r="L38" i="158"/>
  <c r="M38" i="158" s="1"/>
  <c r="L40" i="158"/>
  <c r="M40" i="158" s="1"/>
  <c r="H5" i="158"/>
  <c r="I5" i="158" s="1"/>
  <c r="J5" i="158" s="1"/>
  <c r="K5" i="158" s="1"/>
  <c r="L5" i="158" s="1"/>
  <c r="L33" i="158"/>
  <c r="M33" i="158" s="1"/>
  <c r="L32" i="158"/>
  <c r="M32" i="158" s="1"/>
  <c r="F21" i="158"/>
  <c r="H49" i="158"/>
  <c r="H10" i="158"/>
  <c r="I10" i="158" s="1"/>
  <c r="J10" i="158" s="1"/>
  <c r="K10" i="158" s="1"/>
  <c r="L10" i="158" s="1"/>
  <c r="V26" i="158"/>
  <c r="L36" i="158"/>
  <c r="M36" i="158" s="1"/>
  <c r="L37" i="158"/>
  <c r="M37" i="158" s="1"/>
  <c r="L44" i="158"/>
  <c r="M44" i="158" s="1"/>
  <c r="H16" i="158"/>
  <c r="I16" i="158" s="1"/>
  <c r="J16" i="158" s="1"/>
  <c r="K16" i="158" s="1"/>
  <c r="L16" i="158" s="1"/>
  <c r="L45" i="158"/>
  <c r="M45" i="158" s="1"/>
  <c r="L46" i="158"/>
  <c r="M46" i="158" s="1"/>
  <c r="H9" i="158"/>
  <c r="I9" i="158" s="1"/>
  <c r="J9" i="158" s="1"/>
  <c r="K9" i="158" s="1"/>
  <c r="L9" i="158" s="1"/>
  <c r="I30" i="158"/>
  <c r="E49" i="158"/>
  <c r="G3" i="158"/>
  <c r="H4" i="158"/>
  <c r="I4" i="158" s="1"/>
  <c r="J4" i="158" s="1"/>
  <c r="K4" i="158" s="1"/>
  <c r="L4" i="158" s="1"/>
  <c r="H3" i="158" l="1"/>
  <c r="G21" i="158"/>
  <c r="I49" i="158"/>
  <c r="J30" i="158"/>
  <c r="K30" i="158" l="1"/>
  <c r="J49" i="158"/>
  <c r="I3" i="158"/>
  <c r="H21" i="158"/>
  <c r="I21" i="158" l="1"/>
  <c r="J3" i="158"/>
  <c r="K49" i="158"/>
  <c r="L30" i="158"/>
  <c r="L49" i="158" l="1"/>
  <c r="M30" i="158"/>
  <c r="M49" i="158" s="1"/>
  <c r="K3" i="158"/>
  <c r="J21" i="158"/>
  <c r="L3" i="158" l="1"/>
  <c r="L21" i="158" s="1"/>
  <c r="K21" i="158"/>
  <c r="C31" i="157" l="1"/>
  <c r="E24" i="157"/>
  <c r="D27" i="157"/>
  <c r="D20" i="157"/>
  <c r="D19" i="157"/>
  <c r="D18" i="157"/>
  <c r="D17" i="157"/>
  <c r="D16" i="157"/>
  <c r="D15" i="157"/>
  <c r="D14" i="157"/>
  <c r="D13" i="157"/>
  <c r="D12" i="157"/>
  <c r="D11" i="157"/>
  <c r="D10" i="157"/>
  <c r="D9" i="157"/>
  <c r="D8" i="157"/>
  <c r="D7" i="157"/>
  <c r="D6" i="157"/>
  <c r="D5" i="157"/>
  <c r="D4" i="157"/>
  <c r="K102" i="156"/>
  <c r="I99" i="156"/>
  <c r="I98" i="156" s="1"/>
  <c r="I97" i="156"/>
  <c r="I96" i="156" s="1"/>
  <c r="I95" i="156"/>
  <c r="I94" i="156" s="1"/>
  <c r="I93" i="156"/>
  <c r="I92" i="156"/>
  <c r="I91" i="156"/>
  <c r="K86" i="156"/>
  <c r="I78" i="156"/>
  <c r="I77" i="156" s="1"/>
  <c r="E78" i="156"/>
  <c r="D78" i="156" s="1"/>
  <c r="H77" i="156"/>
  <c r="F77" i="156"/>
  <c r="I76" i="156"/>
  <c r="I75" i="156" s="1"/>
  <c r="E76" i="156"/>
  <c r="H75" i="156"/>
  <c r="F75" i="156"/>
  <c r="I74" i="156"/>
  <c r="I73" i="156" s="1"/>
  <c r="E74" i="156"/>
  <c r="D76" i="156" s="1"/>
  <c r="D74" i="156"/>
  <c r="L73" i="156"/>
  <c r="J73" i="156"/>
  <c r="H73" i="156"/>
  <c r="F73" i="156"/>
  <c r="I72" i="156"/>
  <c r="E72" i="156"/>
  <c r="L71" i="156"/>
  <c r="J71" i="156"/>
  <c r="I71" i="156"/>
  <c r="H71" i="156"/>
  <c r="F71" i="156"/>
  <c r="I70" i="156"/>
  <c r="K63" i="156"/>
  <c r="I54" i="156"/>
  <c r="H54" i="156"/>
  <c r="I52" i="156"/>
  <c r="H52" i="156"/>
  <c r="J50" i="156"/>
  <c r="I50" i="156"/>
  <c r="H50" i="156"/>
  <c r="J48" i="156"/>
  <c r="I48" i="156"/>
  <c r="H48" i="156"/>
  <c r="B41" i="156"/>
  <c r="E40" i="156"/>
  <c r="F40" i="156" s="1"/>
  <c r="A40" i="156"/>
  <c r="E39" i="156"/>
  <c r="F39" i="156" s="1"/>
  <c r="A39" i="156"/>
  <c r="E38" i="156"/>
  <c r="F38" i="156" s="1"/>
  <c r="A38" i="156"/>
  <c r="E37" i="156"/>
  <c r="F37" i="156" s="1"/>
  <c r="A37" i="156"/>
  <c r="E36" i="156"/>
  <c r="F36" i="156" s="1"/>
  <c r="A36" i="156"/>
  <c r="E35" i="156"/>
  <c r="F35" i="156" s="1"/>
  <c r="A35" i="156"/>
  <c r="E34" i="156"/>
  <c r="F34" i="156" s="1"/>
  <c r="G34" i="156" s="1"/>
  <c r="A34" i="156"/>
  <c r="E33" i="156"/>
  <c r="F33" i="156" s="1"/>
  <c r="G33" i="156" s="1"/>
  <c r="A33" i="156"/>
  <c r="F32" i="156"/>
  <c r="E32" i="156"/>
  <c r="F31" i="156"/>
  <c r="E31" i="156"/>
  <c r="F30" i="156"/>
  <c r="E30" i="156"/>
  <c r="D19" i="156"/>
  <c r="D17" i="156"/>
  <c r="D15" i="156"/>
  <c r="D13" i="156"/>
  <c r="D11" i="156"/>
  <c r="D9" i="156"/>
  <c r="D7" i="156"/>
  <c r="M12" i="142"/>
  <c r="I12" i="142" s="1"/>
  <c r="L12" i="142" s="1"/>
  <c r="M10" i="142"/>
  <c r="I10" i="142" s="1"/>
  <c r="L10" i="142" s="1"/>
  <c r="H10" i="142"/>
  <c r="H11" i="142" s="1"/>
  <c r="H9" i="142"/>
  <c r="M8" i="142"/>
  <c r="I8" i="142" s="1"/>
  <c r="K8" i="142"/>
  <c r="J8" i="142"/>
  <c r="H8" i="142"/>
  <c r="K7" i="142"/>
  <c r="H7" i="142"/>
  <c r="M6" i="142"/>
  <c r="I6" i="142" s="1"/>
  <c r="L6" i="142" s="1"/>
  <c r="K6" i="142"/>
  <c r="J6" i="142"/>
  <c r="H6" i="142"/>
  <c r="M4" i="142"/>
  <c r="L4" i="142"/>
  <c r="J4" i="142"/>
  <c r="H4" i="142"/>
  <c r="E14" i="142"/>
  <c r="E13" i="142"/>
  <c r="E12" i="142"/>
  <c r="E11" i="142"/>
  <c r="E10" i="142"/>
  <c r="E9" i="142"/>
  <c r="E8" i="142"/>
  <c r="E7" i="142"/>
  <c r="E6" i="142"/>
  <c r="E5" i="142"/>
  <c r="E4" i="142"/>
  <c r="F23" i="154"/>
  <c r="H5" i="142" l="1"/>
  <c r="J5" i="142"/>
  <c r="L8" i="142"/>
  <c r="I7" i="142"/>
  <c r="I5" i="142"/>
  <c r="J7" i="142"/>
  <c r="D22" i="157"/>
  <c r="D29" i="157" s="1"/>
  <c r="G35" i="156"/>
  <c r="G37" i="156"/>
  <c r="G39" i="156"/>
  <c r="G36" i="156"/>
  <c r="G38" i="156"/>
  <c r="G40" i="156"/>
  <c r="I9" i="142"/>
  <c r="I11" i="142"/>
  <c r="N14" i="154"/>
  <c r="U17" i="154"/>
  <c r="U16" i="154"/>
  <c r="U15" i="154"/>
  <c r="U9" i="154"/>
  <c r="G14" i="154"/>
  <c r="I14" i="154"/>
  <c r="K14" i="154"/>
  <c r="M14" i="154"/>
  <c r="J81" i="149" l="1"/>
  <c r="J165" i="149" s="1"/>
  <c r="I81" i="149"/>
  <c r="I165" i="149" s="1"/>
  <c r="H81" i="149"/>
  <c r="H165" i="149" s="1"/>
  <c r="G81" i="149"/>
  <c r="G165" i="149" s="1"/>
  <c r="F81" i="149"/>
  <c r="F165" i="149" s="1"/>
  <c r="E81" i="149"/>
  <c r="E165" i="149" s="1"/>
  <c r="D81" i="149"/>
  <c r="D165" i="149" s="1"/>
  <c r="J80" i="149"/>
  <c r="J164" i="149" s="1"/>
  <c r="I80" i="149"/>
  <c r="I164" i="149" s="1"/>
  <c r="H80" i="149"/>
  <c r="H164" i="149" s="1"/>
  <c r="G80" i="149"/>
  <c r="G164" i="149" s="1"/>
  <c r="F80" i="149"/>
  <c r="F164" i="149" s="1"/>
  <c r="E80" i="149"/>
  <c r="E164" i="149" s="1"/>
  <c r="D80" i="149"/>
  <c r="D164" i="149" s="1"/>
  <c r="J79" i="149"/>
  <c r="J163" i="149" s="1"/>
  <c r="I79" i="149"/>
  <c r="I163" i="149" s="1"/>
  <c r="H79" i="149"/>
  <c r="H163" i="149" s="1"/>
  <c r="G79" i="149"/>
  <c r="G163" i="149" s="1"/>
  <c r="F79" i="149"/>
  <c r="F163" i="149" s="1"/>
  <c r="E79" i="149"/>
  <c r="E163" i="149" s="1"/>
  <c r="D79" i="149"/>
  <c r="D163" i="149" s="1"/>
  <c r="G78" i="149"/>
  <c r="G162" i="149" s="1"/>
  <c r="F78" i="149"/>
  <c r="F162" i="149" s="1"/>
  <c r="E78" i="149"/>
  <c r="E162" i="149" s="1"/>
  <c r="D78" i="149"/>
  <c r="D162" i="149" s="1"/>
  <c r="J73" i="149"/>
  <c r="J157" i="149" s="1"/>
  <c r="I73" i="149"/>
  <c r="I157" i="149" s="1"/>
  <c r="H73" i="149"/>
  <c r="H157" i="149" s="1"/>
  <c r="G73" i="149"/>
  <c r="G157" i="149" s="1"/>
  <c r="F73" i="149"/>
  <c r="F157" i="149" s="1"/>
  <c r="E73" i="149"/>
  <c r="E157" i="149" s="1"/>
  <c r="D73" i="149"/>
  <c r="D157" i="149" s="1"/>
  <c r="J60" i="149"/>
  <c r="I60" i="149"/>
  <c r="H60" i="149"/>
  <c r="G60" i="149"/>
  <c r="F60" i="149"/>
  <c r="E60" i="149"/>
  <c r="D60" i="149"/>
  <c r="J59" i="149"/>
  <c r="I59" i="149"/>
  <c r="H59" i="149"/>
  <c r="G59" i="149"/>
  <c r="F59" i="149"/>
  <c r="E59" i="149"/>
  <c r="D59" i="149"/>
  <c r="J58" i="149"/>
  <c r="I58" i="149"/>
  <c r="H58" i="149"/>
  <c r="G58" i="149"/>
  <c r="F58" i="149"/>
  <c r="E58" i="149"/>
  <c r="D58" i="149"/>
  <c r="G57" i="149"/>
  <c r="F57" i="149"/>
  <c r="E57" i="149"/>
  <c r="D57" i="149"/>
  <c r="J52" i="149"/>
  <c r="I52" i="149"/>
  <c r="H52" i="149"/>
  <c r="G52" i="149"/>
  <c r="F52" i="149"/>
  <c r="E52" i="149"/>
  <c r="D52" i="149"/>
  <c r="J39" i="149"/>
  <c r="I39" i="149"/>
  <c r="H39" i="149"/>
  <c r="G39" i="149"/>
  <c r="F39" i="149"/>
  <c r="E39" i="149"/>
  <c r="D39" i="149"/>
  <c r="J38" i="149"/>
  <c r="I38" i="149"/>
  <c r="H38" i="149"/>
  <c r="G38" i="149"/>
  <c r="F38" i="149"/>
  <c r="E38" i="149"/>
  <c r="D38" i="149"/>
  <c r="J37" i="149"/>
  <c r="I37" i="149"/>
  <c r="H37" i="149"/>
  <c r="G37" i="149"/>
  <c r="F37" i="149"/>
  <c r="E37" i="149"/>
  <c r="D37" i="149"/>
  <c r="G36" i="149"/>
  <c r="F36" i="149"/>
  <c r="E36" i="149"/>
  <c r="D36" i="149"/>
  <c r="J31" i="149"/>
  <c r="I31" i="149"/>
  <c r="H31" i="149"/>
  <c r="G31" i="149"/>
  <c r="F31" i="149"/>
  <c r="E31" i="149"/>
  <c r="D31" i="149"/>
  <c r="J10" i="149"/>
  <c r="J16" i="149"/>
  <c r="J17" i="149"/>
  <c r="J18" i="149"/>
  <c r="I10" i="149"/>
  <c r="I16" i="149"/>
  <c r="I17" i="149"/>
  <c r="I18" i="149"/>
  <c r="H10" i="149"/>
  <c r="H16" i="149"/>
  <c r="H17" i="149"/>
  <c r="H18" i="149"/>
  <c r="G10" i="149"/>
  <c r="G15" i="149"/>
  <c r="G16" i="149"/>
  <c r="G17" i="149"/>
  <c r="G18" i="149"/>
  <c r="F10" i="149"/>
  <c r="F15" i="149"/>
  <c r="F16" i="149"/>
  <c r="F17" i="149"/>
  <c r="F18" i="149"/>
  <c r="E10" i="149"/>
  <c r="E15" i="149"/>
  <c r="E16" i="149"/>
  <c r="E17" i="149"/>
  <c r="E18" i="149"/>
  <c r="D10" i="149"/>
  <c r="D15" i="149"/>
  <c r="D16" i="149"/>
  <c r="D17" i="149"/>
  <c r="D18" i="149"/>
  <c r="J11" i="162" l="1"/>
  <c r="E22" i="162"/>
  <c r="E40" i="154"/>
  <c r="R40" i="154"/>
  <c r="P40" i="154"/>
  <c r="N40" i="154"/>
  <c r="L40" i="154"/>
  <c r="J40" i="154"/>
  <c r="H40" i="154"/>
  <c r="F40" i="154"/>
  <c r="C6" i="151"/>
  <c r="L6" i="151" s="1"/>
  <c r="L19" i="151"/>
  <c r="L20" i="151"/>
  <c r="K11" i="162" l="1"/>
  <c r="J22" i="162"/>
  <c r="J24" i="162" s="1"/>
  <c r="E24" i="162"/>
  <c r="E14" i="145"/>
  <c r="R14" i="145"/>
  <c r="P14" i="145"/>
  <c r="N14" i="145"/>
  <c r="L14" i="145"/>
  <c r="J14" i="145"/>
  <c r="H14" i="145"/>
  <c r="F14" i="145"/>
  <c r="E51" i="147"/>
  <c r="G5" i="154"/>
  <c r="R23" i="154"/>
  <c r="R24" i="154" s="1"/>
  <c r="P23" i="154"/>
  <c r="P24" i="154" s="1"/>
  <c r="N23" i="154"/>
  <c r="N24" i="154" s="1"/>
  <c r="L23" i="154"/>
  <c r="L24" i="154" s="1"/>
  <c r="J23" i="154"/>
  <c r="H23" i="154"/>
  <c r="H24" i="154" s="1"/>
  <c r="S21" i="154"/>
  <c r="Q21" i="154"/>
  <c r="O21" i="154"/>
  <c r="M21" i="154"/>
  <c r="K21" i="154"/>
  <c r="I21" i="154"/>
  <c r="G21" i="154"/>
  <c r="S20" i="154"/>
  <c r="Q20" i="154"/>
  <c r="O20" i="154"/>
  <c r="M20" i="154"/>
  <c r="K20" i="154"/>
  <c r="I20" i="154"/>
  <c r="G20" i="154"/>
  <c r="S19" i="154"/>
  <c r="Q19" i="154"/>
  <c r="O19" i="154"/>
  <c r="M19" i="154"/>
  <c r="K19" i="154"/>
  <c r="I19" i="154"/>
  <c r="G19" i="154"/>
  <c r="S18" i="154"/>
  <c r="Q18" i="154"/>
  <c r="O18" i="154"/>
  <c r="M18" i="154"/>
  <c r="K18" i="154"/>
  <c r="I18" i="154"/>
  <c r="G18" i="154"/>
  <c r="E17" i="154"/>
  <c r="E16" i="154"/>
  <c r="E15" i="154"/>
  <c r="S13" i="154"/>
  <c r="Q13" i="154"/>
  <c r="O13" i="154"/>
  <c r="M13" i="154"/>
  <c r="K13" i="154"/>
  <c r="I13" i="154"/>
  <c r="G13" i="154"/>
  <c r="S12" i="154"/>
  <c r="Q12" i="154"/>
  <c r="O12" i="154"/>
  <c r="M12" i="154"/>
  <c r="K12" i="154"/>
  <c r="I12" i="154"/>
  <c r="G12" i="154"/>
  <c r="S11" i="154"/>
  <c r="Q11" i="154"/>
  <c r="O11" i="154"/>
  <c r="M11" i="154"/>
  <c r="K11" i="154"/>
  <c r="I11" i="154"/>
  <c r="G11" i="154"/>
  <c r="S10" i="154"/>
  <c r="Q10" i="154"/>
  <c r="O10" i="154"/>
  <c r="M10" i="154"/>
  <c r="K10" i="154"/>
  <c r="I10" i="154"/>
  <c r="G10" i="154"/>
  <c r="E9" i="154"/>
  <c r="S8" i="154"/>
  <c r="Q8" i="154"/>
  <c r="O8" i="154"/>
  <c r="M8" i="154"/>
  <c r="K8" i="154"/>
  <c r="I8" i="154"/>
  <c r="G8" i="154"/>
  <c r="S7" i="154"/>
  <c r="Q7" i="154"/>
  <c r="O7" i="154"/>
  <c r="M7" i="154"/>
  <c r="K7" i="154"/>
  <c r="I7" i="154"/>
  <c r="G7" i="154"/>
  <c r="S6" i="154"/>
  <c r="Q6" i="154"/>
  <c r="O6" i="154"/>
  <c r="M6" i="154"/>
  <c r="K6" i="154"/>
  <c r="I6" i="154"/>
  <c r="G6" i="154"/>
  <c r="S5" i="154"/>
  <c r="Q5" i="154"/>
  <c r="O5" i="154"/>
  <c r="M5" i="154"/>
  <c r="K5" i="154"/>
  <c r="I5" i="154"/>
  <c r="R49" i="154"/>
  <c r="R50" i="154" s="1"/>
  <c r="P49" i="154"/>
  <c r="P50" i="154" s="1"/>
  <c r="N49" i="154"/>
  <c r="N50" i="154" s="1"/>
  <c r="L49" i="154"/>
  <c r="L50" i="154" s="1"/>
  <c r="J49" i="154"/>
  <c r="H49" i="154"/>
  <c r="H50" i="154" s="1"/>
  <c r="F49" i="154"/>
  <c r="F50" i="154" s="1"/>
  <c r="S47" i="154"/>
  <c r="Q47" i="154"/>
  <c r="O47" i="154"/>
  <c r="M47" i="154"/>
  <c r="K47" i="154"/>
  <c r="I47" i="154"/>
  <c r="G47" i="154"/>
  <c r="S46" i="154"/>
  <c r="Q46" i="154"/>
  <c r="O46" i="154"/>
  <c r="M46" i="154"/>
  <c r="K46" i="154"/>
  <c r="I46" i="154"/>
  <c r="G46" i="154"/>
  <c r="S45" i="154"/>
  <c r="Q45" i="154"/>
  <c r="O45" i="154"/>
  <c r="M45" i="154"/>
  <c r="K45" i="154"/>
  <c r="I45" i="154"/>
  <c r="G45" i="154"/>
  <c r="S44" i="154"/>
  <c r="Q44" i="154"/>
  <c r="O44" i="154"/>
  <c r="M44" i="154"/>
  <c r="K44" i="154"/>
  <c r="I44" i="154"/>
  <c r="G44" i="154"/>
  <c r="U43" i="154"/>
  <c r="E43" i="154"/>
  <c r="U42" i="154"/>
  <c r="E42" i="154"/>
  <c r="U41" i="154"/>
  <c r="E41" i="154"/>
  <c r="S40" i="154"/>
  <c r="Q40" i="154"/>
  <c r="O40" i="154"/>
  <c r="M40" i="154"/>
  <c r="K40" i="154"/>
  <c r="I40" i="154"/>
  <c r="G40" i="154"/>
  <c r="S39" i="154"/>
  <c r="Q39" i="154"/>
  <c r="O39" i="154"/>
  <c r="M39" i="154"/>
  <c r="K39" i="154"/>
  <c r="I39" i="154"/>
  <c r="G39" i="154"/>
  <c r="S38" i="154"/>
  <c r="Q38" i="154"/>
  <c r="O38" i="154"/>
  <c r="M38" i="154"/>
  <c r="K38" i="154"/>
  <c r="I38" i="154"/>
  <c r="G38" i="154"/>
  <c r="S37" i="154"/>
  <c r="Q37" i="154"/>
  <c r="O37" i="154"/>
  <c r="M37" i="154"/>
  <c r="K37" i="154"/>
  <c r="I37" i="154"/>
  <c r="G37" i="154"/>
  <c r="S36" i="154"/>
  <c r="Q36" i="154"/>
  <c r="O36" i="154"/>
  <c r="M36" i="154"/>
  <c r="K36" i="154"/>
  <c r="I36" i="154"/>
  <c r="G36" i="154"/>
  <c r="U35" i="154"/>
  <c r="E35" i="154"/>
  <c r="S34" i="154"/>
  <c r="Q34" i="154"/>
  <c r="O34" i="154"/>
  <c r="M34" i="154"/>
  <c r="K34" i="154"/>
  <c r="I34" i="154"/>
  <c r="G34" i="154"/>
  <c r="S33" i="154"/>
  <c r="Q33" i="154"/>
  <c r="O33" i="154"/>
  <c r="M33" i="154"/>
  <c r="K33" i="154"/>
  <c r="I33" i="154"/>
  <c r="G33" i="154"/>
  <c r="S32" i="154"/>
  <c r="Q32" i="154"/>
  <c r="O32" i="154"/>
  <c r="M32" i="154"/>
  <c r="K32" i="154"/>
  <c r="I32" i="154"/>
  <c r="G32" i="154"/>
  <c r="S31" i="154"/>
  <c r="Q31" i="154"/>
  <c r="O31" i="154"/>
  <c r="M31" i="154"/>
  <c r="K31" i="154"/>
  <c r="I31" i="154"/>
  <c r="G31" i="154"/>
  <c r="K22" i="162" l="1"/>
  <c r="K24" i="162" s="1"/>
  <c r="E23" i="154"/>
  <c r="H61" i="149"/>
  <c r="H19" i="149"/>
  <c r="H40" i="149"/>
  <c r="H82" i="149"/>
  <c r="H166" i="149" s="1"/>
  <c r="D61" i="149"/>
  <c r="D40" i="149"/>
  <c r="D19" i="149"/>
  <c r="D82" i="149"/>
  <c r="D166" i="149" s="1"/>
  <c r="J61" i="149"/>
  <c r="J19" i="149"/>
  <c r="J40" i="149"/>
  <c r="J82" i="149"/>
  <c r="J166" i="149" s="1"/>
  <c r="I61" i="149"/>
  <c r="I19" i="149"/>
  <c r="I82" i="149"/>
  <c r="I166" i="149" s="1"/>
  <c r="I40" i="149"/>
  <c r="G82" i="149"/>
  <c r="G166" i="149" s="1"/>
  <c r="G19" i="149"/>
  <c r="G40" i="149"/>
  <c r="G61" i="149"/>
  <c r="F61" i="149"/>
  <c r="F82" i="149"/>
  <c r="F166" i="149" s="1"/>
  <c r="F19" i="149"/>
  <c r="F40" i="149"/>
  <c r="U18" i="154"/>
  <c r="E40" i="149"/>
  <c r="E61" i="149"/>
  <c r="E82" i="149"/>
  <c r="E166" i="149" s="1"/>
  <c r="E19" i="149"/>
  <c r="D11" i="149"/>
  <c r="D74" i="149"/>
  <c r="D158" i="149" s="1"/>
  <c r="D53" i="149"/>
  <c r="D32" i="149"/>
  <c r="J32" i="149"/>
  <c r="J11" i="149"/>
  <c r="J74" i="149"/>
  <c r="J158" i="149" s="1"/>
  <c r="J53" i="149"/>
  <c r="I53" i="149"/>
  <c r="I32" i="149"/>
  <c r="I11" i="149"/>
  <c r="I74" i="149"/>
  <c r="I158" i="149" s="1"/>
  <c r="H74" i="149"/>
  <c r="H158" i="149" s="1"/>
  <c r="H11" i="149"/>
  <c r="H53" i="149"/>
  <c r="H32" i="149"/>
  <c r="G53" i="149"/>
  <c r="G74" i="149"/>
  <c r="G158" i="149" s="1"/>
  <c r="G32" i="149"/>
  <c r="G11" i="149"/>
  <c r="F74" i="149"/>
  <c r="F158" i="149" s="1"/>
  <c r="F32" i="149"/>
  <c r="F53" i="149"/>
  <c r="F11" i="149"/>
  <c r="U10" i="154"/>
  <c r="E53" i="149"/>
  <c r="E11" i="149"/>
  <c r="E32" i="149"/>
  <c r="E74" i="149"/>
  <c r="E158" i="149" s="1"/>
  <c r="J20" i="149"/>
  <c r="J41" i="149"/>
  <c r="J62" i="149"/>
  <c r="J83" i="149"/>
  <c r="J167" i="149" s="1"/>
  <c r="I20" i="149"/>
  <c r="I83" i="149"/>
  <c r="I167" i="149" s="1"/>
  <c r="I62" i="149"/>
  <c r="I41" i="149"/>
  <c r="H83" i="149"/>
  <c r="H167" i="149" s="1"/>
  <c r="H62" i="149"/>
  <c r="H41" i="149"/>
  <c r="H20" i="149"/>
  <c r="G20" i="149"/>
  <c r="G83" i="149"/>
  <c r="G167" i="149" s="1"/>
  <c r="G41" i="149"/>
  <c r="G62" i="149"/>
  <c r="F41" i="149"/>
  <c r="F83" i="149"/>
  <c r="F167" i="149" s="1"/>
  <c r="F20" i="149"/>
  <c r="F62" i="149"/>
  <c r="E83" i="149"/>
  <c r="E167" i="149" s="1"/>
  <c r="E41" i="149"/>
  <c r="E20" i="149"/>
  <c r="E62" i="149"/>
  <c r="U19" i="154"/>
  <c r="D62" i="149"/>
  <c r="D20" i="149"/>
  <c r="D83" i="149"/>
  <c r="D167" i="149" s="1"/>
  <c r="D41" i="149"/>
  <c r="F22" i="149"/>
  <c r="F85" i="149"/>
  <c r="F169" i="149" s="1"/>
  <c r="F43" i="149"/>
  <c r="F64" i="149"/>
  <c r="I22" i="149"/>
  <c r="I43" i="149"/>
  <c r="I64" i="149"/>
  <c r="I85" i="149"/>
  <c r="I169" i="149" s="1"/>
  <c r="J22" i="149"/>
  <c r="J85" i="149"/>
  <c r="J169" i="149" s="1"/>
  <c r="J64" i="149"/>
  <c r="J43" i="149"/>
  <c r="H85" i="149"/>
  <c r="H169" i="149" s="1"/>
  <c r="H64" i="149"/>
  <c r="H43" i="149"/>
  <c r="H22" i="149"/>
  <c r="G85" i="149"/>
  <c r="G169" i="149" s="1"/>
  <c r="G43" i="149"/>
  <c r="G22" i="149"/>
  <c r="G64" i="149"/>
  <c r="E43" i="149"/>
  <c r="E22" i="149"/>
  <c r="E85" i="149"/>
  <c r="E169" i="149" s="1"/>
  <c r="E64" i="149"/>
  <c r="U21" i="154"/>
  <c r="D64" i="149"/>
  <c r="D85" i="149"/>
  <c r="D169" i="149" s="1"/>
  <c r="D43" i="149"/>
  <c r="D22" i="149"/>
  <c r="I63" i="149"/>
  <c r="I21" i="149"/>
  <c r="I84" i="149"/>
  <c r="I168" i="149" s="1"/>
  <c r="I42" i="149"/>
  <c r="J42" i="149"/>
  <c r="J63" i="149"/>
  <c r="J84" i="149"/>
  <c r="J168" i="149" s="1"/>
  <c r="J21" i="149"/>
  <c r="H21" i="149"/>
  <c r="H84" i="149"/>
  <c r="H168" i="149" s="1"/>
  <c r="H42" i="149"/>
  <c r="H63" i="149"/>
  <c r="G84" i="149"/>
  <c r="G168" i="149" s="1"/>
  <c r="G63" i="149"/>
  <c r="G42" i="149"/>
  <c r="G21" i="149"/>
  <c r="F84" i="149"/>
  <c r="F168" i="149" s="1"/>
  <c r="F63" i="149"/>
  <c r="F42" i="149"/>
  <c r="F21" i="149"/>
  <c r="E84" i="149"/>
  <c r="E168" i="149" s="1"/>
  <c r="E21" i="149"/>
  <c r="E63" i="149"/>
  <c r="E42" i="149"/>
  <c r="U20" i="154"/>
  <c r="D21" i="149"/>
  <c r="D42" i="149"/>
  <c r="D84" i="149"/>
  <c r="D168" i="149" s="1"/>
  <c r="D63" i="149"/>
  <c r="J71" i="149"/>
  <c r="J155" i="149" s="1"/>
  <c r="J8" i="149"/>
  <c r="J29" i="149"/>
  <c r="J50" i="149"/>
  <c r="I50" i="149"/>
  <c r="I71" i="149"/>
  <c r="I155" i="149" s="1"/>
  <c r="I8" i="149"/>
  <c r="I29" i="149"/>
  <c r="H50" i="149"/>
  <c r="H8" i="149"/>
  <c r="H71" i="149"/>
  <c r="H155" i="149" s="1"/>
  <c r="H29" i="149"/>
  <c r="G8" i="149"/>
  <c r="G29" i="149"/>
  <c r="G50" i="149"/>
  <c r="G71" i="149"/>
  <c r="G155" i="149" s="1"/>
  <c r="F8" i="149"/>
  <c r="F71" i="149"/>
  <c r="F155" i="149" s="1"/>
  <c r="F50" i="149"/>
  <c r="F29" i="149"/>
  <c r="E29" i="149"/>
  <c r="E8" i="149"/>
  <c r="E50" i="149"/>
  <c r="E71" i="149"/>
  <c r="E155" i="149" s="1"/>
  <c r="U7" i="154"/>
  <c r="D50" i="149"/>
  <c r="D71" i="149"/>
  <c r="D155" i="149" s="1"/>
  <c r="D29" i="149"/>
  <c r="D8" i="149"/>
  <c r="J70" i="149"/>
  <c r="J154" i="149" s="1"/>
  <c r="J49" i="149"/>
  <c r="J28" i="149"/>
  <c r="J7" i="149"/>
  <c r="I70" i="149"/>
  <c r="I154" i="149" s="1"/>
  <c r="I28" i="149"/>
  <c r="I49" i="149"/>
  <c r="I7" i="149"/>
  <c r="H70" i="149"/>
  <c r="H154" i="149" s="1"/>
  <c r="H7" i="149"/>
  <c r="H28" i="149"/>
  <c r="H49" i="149"/>
  <c r="G49" i="149"/>
  <c r="G28" i="149"/>
  <c r="G70" i="149"/>
  <c r="G154" i="149" s="1"/>
  <c r="G7" i="149"/>
  <c r="F7" i="149"/>
  <c r="F28" i="149"/>
  <c r="F49" i="149"/>
  <c r="F70" i="149"/>
  <c r="F154" i="149" s="1"/>
  <c r="E28" i="149"/>
  <c r="E7" i="149"/>
  <c r="E70" i="149"/>
  <c r="E154" i="149" s="1"/>
  <c r="E49" i="149"/>
  <c r="U6" i="154"/>
  <c r="D28" i="149"/>
  <c r="D7" i="149"/>
  <c r="D49" i="149"/>
  <c r="D70" i="149"/>
  <c r="D154" i="149" s="1"/>
  <c r="H33" i="149"/>
  <c r="H12" i="149"/>
  <c r="H75" i="149"/>
  <c r="H159" i="149" s="1"/>
  <c r="H54" i="149"/>
  <c r="J33" i="149"/>
  <c r="J12" i="149"/>
  <c r="J75" i="149"/>
  <c r="J159" i="149" s="1"/>
  <c r="J54" i="149"/>
  <c r="I54" i="149"/>
  <c r="I12" i="149"/>
  <c r="I75" i="149"/>
  <c r="I159" i="149" s="1"/>
  <c r="I33" i="149"/>
  <c r="G33" i="149"/>
  <c r="G54" i="149"/>
  <c r="G12" i="149"/>
  <c r="G75" i="149"/>
  <c r="G159" i="149" s="1"/>
  <c r="F75" i="149"/>
  <c r="F159" i="149" s="1"/>
  <c r="F33" i="149"/>
  <c r="F54" i="149"/>
  <c r="F12" i="149"/>
  <c r="E75" i="149"/>
  <c r="E159" i="149" s="1"/>
  <c r="E54" i="149"/>
  <c r="E12" i="149"/>
  <c r="E33" i="149"/>
  <c r="U11" i="154"/>
  <c r="D75" i="149"/>
  <c r="D159" i="149" s="1"/>
  <c r="D54" i="149"/>
  <c r="D33" i="149"/>
  <c r="D12" i="149"/>
  <c r="G72" i="149"/>
  <c r="G156" i="149" s="1"/>
  <c r="G51" i="149"/>
  <c r="G30" i="149"/>
  <c r="G9" i="149"/>
  <c r="J72" i="149"/>
  <c r="J156" i="149" s="1"/>
  <c r="J30" i="149"/>
  <c r="J9" i="149"/>
  <c r="J51" i="149"/>
  <c r="I72" i="149"/>
  <c r="I156" i="149" s="1"/>
  <c r="I51" i="149"/>
  <c r="I30" i="149"/>
  <c r="I9" i="149"/>
  <c r="H72" i="149"/>
  <c r="H156" i="149" s="1"/>
  <c r="H30" i="149"/>
  <c r="H51" i="149"/>
  <c r="H9" i="149"/>
  <c r="F51" i="149"/>
  <c r="F72" i="149"/>
  <c r="F156" i="149" s="1"/>
  <c r="F9" i="149"/>
  <c r="F30" i="149"/>
  <c r="E72" i="149"/>
  <c r="E156" i="149" s="1"/>
  <c r="E30" i="149"/>
  <c r="E9" i="149"/>
  <c r="E51" i="149"/>
  <c r="U8" i="154"/>
  <c r="D30" i="149"/>
  <c r="D51" i="149"/>
  <c r="D72" i="149"/>
  <c r="D156" i="149" s="1"/>
  <c r="D9" i="149"/>
  <c r="G27" i="149"/>
  <c r="G69" i="149"/>
  <c r="G153" i="149" s="1"/>
  <c r="G48" i="149"/>
  <c r="G6" i="149"/>
  <c r="H6" i="149"/>
  <c r="H69" i="149"/>
  <c r="H153" i="149" s="1"/>
  <c r="H48" i="149"/>
  <c r="H27" i="149"/>
  <c r="J27" i="149"/>
  <c r="J6" i="149"/>
  <c r="J69" i="149"/>
  <c r="J153" i="149" s="1"/>
  <c r="J48" i="149"/>
  <c r="I69" i="149"/>
  <c r="I153" i="149" s="1"/>
  <c r="I48" i="149"/>
  <c r="I6" i="149"/>
  <c r="I27" i="149"/>
  <c r="F69" i="149"/>
  <c r="F153" i="149" s="1"/>
  <c r="F27" i="149"/>
  <c r="F6" i="149"/>
  <c r="F48" i="149"/>
  <c r="E69" i="149"/>
  <c r="E153" i="149" s="1"/>
  <c r="E6" i="149"/>
  <c r="E27" i="149"/>
  <c r="E48" i="149"/>
  <c r="U5" i="154"/>
  <c r="D48" i="149"/>
  <c r="D69" i="149"/>
  <c r="D153" i="149" s="1"/>
  <c r="D27" i="149"/>
  <c r="D6" i="149"/>
  <c r="J35" i="149"/>
  <c r="J14" i="149"/>
  <c r="J77" i="149"/>
  <c r="J161" i="149" s="1"/>
  <c r="J56" i="149"/>
  <c r="I56" i="149"/>
  <c r="I35" i="149"/>
  <c r="I14" i="149"/>
  <c r="I77" i="149"/>
  <c r="I161" i="149" s="1"/>
  <c r="H56" i="149"/>
  <c r="H35" i="149"/>
  <c r="H14" i="149"/>
  <c r="H77" i="149"/>
  <c r="H161" i="149" s="1"/>
  <c r="G77" i="149"/>
  <c r="G161" i="149" s="1"/>
  <c r="G35" i="149"/>
  <c r="G14" i="149"/>
  <c r="G56" i="149"/>
  <c r="F77" i="149"/>
  <c r="F161" i="149" s="1"/>
  <c r="F14" i="149"/>
  <c r="F35" i="149"/>
  <c r="F56" i="149"/>
  <c r="E56" i="149"/>
  <c r="E77" i="149"/>
  <c r="E161" i="149" s="1"/>
  <c r="E14" i="149"/>
  <c r="E35" i="149"/>
  <c r="U13" i="154"/>
  <c r="D35" i="149"/>
  <c r="D56" i="149"/>
  <c r="D77" i="149"/>
  <c r="D161" i="149" s="1"/>
  <c r="D14" i="149"/>
  <c r="H13" i="149"/>
  <c r="H34" i="149"/>
  <c r="H76" i="149"/>
  <c r="H160" i="149" s="1"/>
  <c r="H55" i="149"/>
  <c r="J76" i="149"/>
  <c r="J160" i="149" s="1"/>
  <c r="J55" i="149"/>
  <c r="J13" i="149"/>
  <c r="J34" i="149"/>
  <c r="U12" i="154"/>
  <c r="I55" i="149"/>
  <c r="I34" i="149"/>
  <c r="I76" i="149"/>
  <c r="I160" i="149" s="1"/>
  <c r="I13" i="149"/>
  <c r="G76" i="149"/>
  <c r="G160" i="149" s="1"/>
  <c r="G34" i="149"/>
  <c r="G13" i="149"/>
  <c r="G55" i="149"/>
  <c r="F76" i="149"/>
  <c r="F160" i="149" s="1"/>
  <c r="F34" i="149"/>
  <c r="F13" i="149"/>
  <c r="F55" i="149"/>
  <c r="E55" i="149"/>
  <c r="E76" i="149"/>
  <c r="E160" i="149" s="1"/>
  <c r="E13" i="149"/>
  <c r="E34" i="149"/>
  <c r="D13" i="149"/>
  <c r="D34" i="149"/>
  <c r="D55" i="149"/>
  <c r="D76" i="149"/>
  <c r="D160" i="149" s="1"/>
  <c r="S14" i="154"/>
  <c r="S23" i="154" s="1"/>
  <c r="G23" i="154"/>
  <c r="M23" i="154"/>
  <c r="F24" i="154"/>
  <c r="K49" i="154"/>
  <c r="K50" i="154" s="1"/>
  <c r="M49" i="154"/>
  <c r="M50" i="154" s="1"/>
  <c r="I23" i="154"/>
  <c r="K23" i="154"/>
  <c r="O14" i="154"/>
  <c r="Q14" i="154"/>
  <c r="U33" i="154"/>
  <c r="U39" i="154"/>
  <c r="U40" i="154"/>
  <c r="U45" i="154"/>
  <c r="Q49" i="154"/>
  <c r="Q50" i="154" s="1"/>
  <c r="I49" i="154"/>
  <c r="I50" i="154" s="1"/>
  <c r="G49" i="154"/>
  <c r="G50" i="154" s="1"/>
  <c r="O49" i="154"/>
  <c r="O50" i="154" s="1"/>
  <c r="U31" i="154"/>
  <c r="U34" i="154"/>
  <c r="U37" i="154"/>
  <c r="U46" i="154"/>
  <c r="U32" i="154"/>
  <c r="U38" i="154"/>
  <c r="U47" i="154"/>
  <c r="U44" i="154"/>
  <c r="E49" i="154"/>
  <c r="U36" i="154"/>
  <c r="R6" i="149" l="1"/>
  <c r="G171" i="149"/>
  <c r="F171" i="149"/>
  <c r="E171" i="149"/>
  <c r="D171" i="149"/>
  <c r="J15" i="149"/>
  <c r="J78" i="149"/>
  <c r="J162" i="149" s="1"/>
  <c r="J171" i="149" s="1"/>
  <c r="J57" i="149"/>
  <c r="J36" i="149"/>
  <c r="U14" i="154"/>
  <c r="Q23" i="154"/>
  <c r="I78" i="149"/>
  <c r="I162" i="149" s="1"/>
  <c r="I171" i="149" s="1"/>
  <c r="I57" i="149"/>
  <c r="I15" i="149"/>
  <c r="I36" i="149"/>
  <c r="O23" i="154"/>
  <c r="H78" i="149"/>
  <c r="H162" i="149" s="1"/>
  <c r="H171" i="149" s="1"/>
  <c r="H57" i="149"/>
  <c r="H36" i="149"/>
  <c r="H15" i="149"/>
  <c r="E21" i="147" l="1"/>
  <c r="E20" i="147"/>
  <c r="E19" i="147"/>
  <c r="E18" i="147"/>
  <c r="E17" i="147"/>
  <c r="E16" i="147"/>
  <c r="E15" i="147"/>
  <c r="E14" i="147"/>
  <c r="E13" i="147"/>
  <c r="E12" i="147"/>
  <c r="E11" i="147"/>
  <c r="E10" i="147"/>
  <c r="E9" i="147"/>
  <c r="E8" i="147"/>
  <c r="E7" i="147"/>
  <c r="E6" i="147"/>
  <c r="E5" i="147"/>
  <c r="S37" i="147"/>
  <c r="R37" i="147"/>
  <c r="Q37" i="147"/>
  <c r="P37" i="147"/>
  <c r="O37" i="147"/>
  <c r="K37" i="147"/>
  <c r="N35" i="147"/>
  <c r="J35" i="147"/>
  <c r="N33" i="147"/>
  <c r="J33" i="147"/>
  <c r="N31" i="147"/>
  <c r="J31" i="147"/>
  <c r="N29" i="147"/>
  <c r="J29" i="147"/>
  <c r="N27" i="147"/>
  <c r="J27" i="147"/>
  <c r="N25" i="147"/>
  <c r="J25" i="147"/>
  <c r="N24" i="147"/>
  <c r="J24" i="147"/>
  <c r="N22" i="147"/>
  <c r="J22" i="147"/>
  <c r="N20" i="147"/>
  <c r="J20" i="147"/>
  <c r="N18" i="147"/>
  <c r="J18" i="147"/>
  <c r="N16" i="147"/>
  <c r="J16" i="147"/>
  <c r="N14" i="147"/>
  <c r="J14" i="147"/>
  <c r="N12" i="147"/>
  <c r="J12" i="147"/>
  <c r="N11" i="147"/>
  <c r="J11" i="147"/>
  <c r="N9" i="147"/>
  <c r="J9" i="147"/>
  <c r="N7" i="147"/>
  <c r="J7" i="147"/>
  <c r="N5" i="147"/>
  <c r="J5" i="147"/>
  <c r="E23" i="147" l="1"/>
  <c r="N37" i="147"/>
  <c r="J37" i="147"/>
  <c r="M34" i="153" l="1"/>
  <c r="I34" i="153"/>
  <c r="P33" i="153"/>
  <c r="R33" i="153" s="1"/>
  <c r="M33" i="153"/>
  <c r="G33" i="153" s="1"/>
  <c r="K33" i="153" s="1"/>
  <c r="I33" i="153"/>
  <c r="M32" i="153"/>
  <c r="G32" i="153" s="1"/>
  <c r="K32" i="153" s="1"/>
  <c r="I32" i="153"/>
  <c r="M31" i="153"/>
  <c r="P31" i="153" s="1"/>
  <c r="R31" i="153" s="1"/>
  <c r="I31" i="153"/>
  <c r="G31" i="153"/>
  <c r="K31" i="153" s="1"/>
  <c r="M30" i="153"/>
  <c r="I30" i="153"/>
  <c r="P29" i="153"/>
  <c r="R29" i="153" s="1"/>
  <c r="M29" i="153"/>
  <c r="G29" i="153" s="1"/>
  <c r="K29" i="153" s="1"/>
  <c r="I29" i="153"/>
  <c r="M25" i="153"/>
  <c r="G25" i="153" s="1"/>
  <c r="K25" i="153" s="1"/>
  <c r="I25" i="153"/>
  <c r="M24" i="153"/>
  <c r="P24" i="153" s="1"/>
  <c r="R24" i="153" s="1"/>
  <c r="I24" i="153"/>
  <c r="G24" i="153"/>
  <c r="K24" i="153" s="1"/>
  <c r="M23" i="153"/>
  <c r="I23" i="153"/>
  <c r="P21" i="153"/>
  <c r="R21" i="153" s="1"/>
  <c r="M21" i="153"/>
  <c r="G21" i="153" s="1"/>
  <c r="K21" i="153" s="1"/>
  <c r="I21" i="153"/>
  <c r="M20" i="153"/>
  <c r="I20" i="153"/>
  <c r="G20" i="153"/>
  <c r="K20" i="153" s="1"/>
  <c r="M19" i="153"/>
  <c r="P19" i="153" s="1"/>
  <c r="R19" i="153" s="1"/>
  <c r="I19" i="153"/>
  <c r="G19" i="153"/>
  <c r="K19" i="153" s="1"/>
  <c r="M18" i="153"/>
  <c r="I18" i="153"/>
  <c r="P17" i="153"/>
  <c r="R17" i="153" s="1"/>
  <c r="M17" i="153"/>
  <c r="G17" i="153" s="1"/>
  <c r="K17" i="153" s="1"/>
  <c r="I17" i="153"/>
  <c r="M16" i="153"/>
  <c r="G16" i="153" s="1"/>
  <c r="K16" i="153" s="1"/>
  <c r="I16" i="153"/>
  <c r="R30" i="153" l="1"/>
  <c r="G18" i="153"/>
  <c r="K18" i="153" s="1"/>
  <c r="P20" i="153"/>
  <c r="R20" i="153" s="1"/>
  <c r="P25" i="153"/>
  <c r="G30" i="153"/>
  <c r="K30" i="153" s="1"/>
  <c r="P32" i="153"/>
  <c r="G34" i="153"/>
  <c r="K34" i="153" s="1"/>
  <c r="P16" i="153"/>
  <c r="G23" i="153"/>
  <c r="K23" i="153" s="1"/>
  <c r="R16" i="153"/>
  <c r="R25" i="153"/>
  <c r="R32" i="153"/>
  <c r="P23" i="153"/>
  <c r="R23" i="153" s="1"/>
  <c r="P30" i="153"/>
  <c r="P34" i="153"/>
  <c r="R34" i="153" s="1"/>
  <c r="P18" i="153"/>
  <c r="R18" i="153" s="1"/>
  <c r="F39" i="152" l="1"/>
  <c r="N39" i="152" s="1"/>
  <c r="F38" i="152"/>
  <c r="N38" i="152" s="1"/>
  <c r="F37" i="152"/>
  <c r="N37" i="152" s="1"/>
  <c r="F36" i="152"/>
  <c r="J36" i="152" s="1"/>
  <c r="F35" i="152"/>
  <c r="H35" i="152" s="1"/>
  <c r="F34" i="152"/>
  <c r="N34" i="152" s="1"/>
  <c r="F33" i="152"/>
  <c r="N33" i="152" s="1"/>
  <c r="F32" i="152"/>
  <c r="N32" i="152" s="1"/>
  <c r="F31" i="152"/>
  <c r="N31" i="152" s="1"/>
  <c r="F30" i="152"/>
  <c r="N30" i="152" s="1"/>
  <c r="F29" i="152"/>
  <c r="N29" i="152" s="1"/>
  <c r="R29" i="152" s="1"/>
  <c r="F28" i="152"/>
  <c r="J28" i="152" s="1"/>
  <c r="F27" i="152"/>
  <c r="H27" i="152" s="1"/>
  <c r="F26" i="152"/>
  <c r="N26" i="152" s="1"/>
  <c r="F25" i="152"/>
  <c r="H25" i="152" s="1"/>
  <c r="F24" i="152"/>
  <c r="J24" i="152" s="1"/>
  <c r="F23" i="152"/>
  <c r="H23" i="152" s="1"/>
  <c r="F22" i="152"/>
  <c r="N22" i="152" s="1"/>
  <c r="F21" i="152"/>
  <c r="N21" i="152" s="1"/>
  <c r="R21" i="152" s="1"/>
  <c r="F20" i="152"/>
  <c r="J20" i="152" s="1"/>
  <c r="H11" i="152"/>
  <c r="C11" i="152"/>
  <c r="D10" i="152"/>
  <c r="C10" i="152"/>
  <c r="N35" i="152" l="1"/>
  <c r="R35" i="152" s="1"/>
  <c r="T35" i="152" s="1"/>
  <c r="N36" i="152"/>
  <c r="R37" i="152"/>
  <c r="T37" i="152" s="1"/>
  <c r="H33" i="152"/>
  <c r="N20" i="152"/>
  <c r="R20" i="152" s="1"/>
  <c r="T20" i="152" s="1"/>
  <c r="H26" i="152"/>
  <c r="N28" i="152"/>
  <c r="R28" i="152" s="1"/>
  <c r="T28" i="152" s="1"/>
  <c r="J26" i="152"/>
  <c r="H34" i="152"/>
  <c r="J34" i="152"/>
  <c r="J27" i="152"/>
  <c r="L27" i="152" s="1"/>
  <c r="N27" i="152"/>
  <c r="J35" i="152"/>
  <c r="L35" i="152" s="1"/>
  <c r="R32" i="152"/>
  <c r="T32" i="152" s="1"/>
  <c r="R33" i="152"/>
  <c r="T33" i="152" s="1"/>
  <c r="R30" i="152"/>
  <c r="T30" i="152" s="1"/>
  <c r="R22" i="152"/>
  <c r="T22" i="152" s="1"/>
  <c r="R31" i="152"/>
  <c r="T31" i="152" s="1"/>
  <c r="R38" i="152"/>
  <c r="T38" i="152" s="1"/>
  <c r="R39" i="152"/>
  <c r="T39" i="152" s="1"/>
  <c r="H24" i="152"/>
  <c r="L24" i="152" s="1"/>
  <c r="J25" i="152"/>
  <c r="L25" i="152" s="1"/>
  <c r="T29" i="152"/>
  <c r="H32" i="152"/>
  <c r="J33" i="152"/>
  <c r="R36" i="152"/>
  <c r="T36" i="152" s="1"/>
  <c r="H31" i="152"/>
  <c r="J32" i="152"/>
  <c r="H39" i="152"/>
  <c r="H22" i="152"/>
  <c r="J23" i="152"/>
  <c r="L23" i="152" s="1"/>
  <c r="N25" i="152"/>
  <c r="R26" i="152"/>
  <c r="T26" i="152" s="1"/>
  <c r="H30" i="152"/>
  <c r="J31" i="152"/>
  <c r="R34" i="152"/>
  <c r="T34" i="152" s="1"/>
  <c r="H38" i="152"/>
  <c r="J39" i="152"/>
  <c r="T21" i="152"/>
  <c r="H21" i="152"/>
  <c r="J22" i="152"/>
  <c r="N24" i="152"/>
  <c r="H29" i="152"/>
  <c r="J30" i="152"/>
  <c r="H37" i="152"/>
  <c r="J38" i="152"/>
  <c r="H20" i="152"/>
  <c r="L20" i="152" s="1"/>
  <c r="J21" i="152"/>
  <c r="N23" i="152"/>
  <c r="H28" i="152"/>
  <c r="L28" i="152" s="1"/>
  <c r="J29" i="152"/>
  <c r="H36" i="152"/>
  <c r="L36" i="152" s="1"/>
  <c r="J37" i="152"/>
  <c r="L33" i="152" l="1"/>
  <c r="L38" i="152"/>
  <c r="L22" i="152"/>
  <c r="L21" i="152"/>
  <c r="L39" i="152"/>
  <c r="L29" i="152"/>
  <c r="L32" i="152"/>
  <c r="L30" i="152"/>
  <c r="L31" i="152"/>
  <c r="L34" i="152"/>
  <c r="R27" i="152"/>
  <c r="T27" i="152" s="1"/>
  <c r="L26" i="152"/>
  <c r="L37" i="152"/>
  <c r="R25" i="152"/>
  <c r="T25" i="152" s="1"/>
  <c r="R23" i="152"/>
  <c r="T23" i="152" s="1"/>
  <c r="R24" i="152"/>
  <c r="T24" i="152" s="1"/>
  <c r="M18" i="144" l="1"/>
  <c r="M10" i="144"/>
  <c r="G20" i="151"/>
  <c r="G19" i="151"/>
  <c r="F12" i="150"/>
  <c r="F7" i="150"/>
  <c r="F13" i="150"/>
  <c r="F10" i="150"/>
  <c r="F9" i="150"/>
  <c r="F5" i="150"/>
  <c r="F6" i="150"/>
  <c r="F8" i="150"/>
  <c r="T147" i="149"/>
  <c r="T146" i="149"/>
  <c r="T145" i="149"/>
  <c r="T144" i="149"/>
  <c r="T143" i="149"/>
  <c r="T142" i="149"/>
  <c r="T141" i="149"/>
  <c r="T140" i="149"/>
  <c r="T139" i="149"/>
  <c r="T138" i="149"/>
  <c r="T137" i="149"/>
  <c r="T136" i="149"/>
  <c r="T135" i="149"/>
  <c r="T134" i="149"/>
  <c r="T133" i="149"/>
  <c r="T132" i="149"/>
  <c r="T131" i="149"/>
  <c r="T130" i="149"/>
  <c r="AA124" i="149"/>
  <c r="Z124" i="149"/>
  <c r="S122" i="149"/>
  <c r="M20" i="148" s="1"/>
  <c r="O122" i="149"/>
  <c r="N122" i="149"/>
  <c r="L122" i="149"/>
  <c r="K122" i="149"/>
  <c r="S121" i="149"/>
  <c r="M19" i="148" s="1"/>
  <c r="O121" i="149"/>
  <c r="N121" i="149"/>
  <c r="L121" i="149"/>
  <c r="K121" i="149"/>
  <c r="S120" i="149"/>
  <c r="M18" i="148" s="1"/>
  <c r="O120" i="149"/>
  <c r="N120" i="149"/>
  <c r="L120" i="149"/>
  <c r="K120" i="149"/>
  <c r="S119" i="149"/>
  <c r="M17" i="148" s="1"/>
  <c r="O119" i="149"/>
  <c r="N119" i="149"/>
  <c r="L119" i="149"/>
  <c r="K119" i="149"/>
  <c r="S118" i="149"/>
  <c r="M16" i="148" s="1"/>
  <c r="O118" i="149"/>
  <c r="N118" i="149"/>
  <c r="L118" i="149"/>
  <c r="K118" i="149"/>
  <c r="S117" i="149"/>
  <c r="M15" i="148" s="1"/>
  <c r="O117" i="149"/>
  <c r="N117" i="149"/>
  <c r="P117" i="149" s="1"/>
  <c r="L117" i="149"/>
  <c r="K117" i="149"/>
  <c r="S116" i="149"/>
  <c r="M14" i="148" s="1"/>
  <c r="O116" i="149"/>
  <c r="N116" i="149"/>
  <c r="L116" i="149"/>
  <c r="K116" i="149"/>
  <c r="S115" i="149"/>
  <c r="M13" i="148" s="1"/>
  <c r="O115" i="149"/>
  <c r="N115" i="149"/>
  <c r="L115" i="149"/>
  <c r="K115" i="149"/>
  <c r="S114" i="149"/>
  <c r="M12" i="148" s="1"/>
  <c r="O114" i="149"/>
  <c r="N114" i="149"/>
  <c r="L114" i="149"/>
  <c r="K114" i="149"/>
  <c r="S113" i="149"/>
  <c r="M11" i="148" s="1"/>
  <c r="O113" i="149"/>
  <c r="N113" i="149"/>
  <c r="L113" i="149"/>
  <c r="K113" i="149"/>
  <c r="S112" i="149"/>
  <c r="M10" i="148" s="1"/>
  <c r="O112" i="149"/>
  <c r="N112" i="149"/>
  <c r="L112" i="149"/>
  <c r="K112" i="149"/>
  <c r="S111" i="149"/>
  <c r="M9" i="148" s="1"/>
  <c r="O111" i="149"/>
  <c r="N111" i="149"/>
  <c r="L111" i="149"/>
  <c r="K111" i="149"/>
  <c r="S110" i="149"/>
  <c r="M8" i="148" s="1"/>
  <c r="O110" i="149"/>
  <c r="N110" i="149"/>
  <c r="L110" i="149"/>
  <c r="K110" i="149"/>
  <c r="S109" i="149"/>
  <c r="M7" i="148" s="1"/>
  <c r="O109" i="149"/>
  <c r="N109" i="149"/>
  <c r="L109" i="149"/>
  <c r="K109" i="149"/>
  <c r="S108" i="149"/>
  <c r="M6" i="148" s="1"/>
  <c r="O108" i="149"/>
  <c r="N108" i="149"/>
  <c r="L108" i="149"/>
  <c r="K108" i="149"/>
  <c r="S107" i="149"/>
  <c r="O107" i="149"/>
  <c r="N107" i="149"/>
  <c r="L107" i="149"/>
  <c r="K107" i="149"/>
  <c r="S106" i="149"/>
  <c r="M4" i="148" s="1"/>
  <c r="O106" i="149"/>
  <c r="N106" i="149"/>
  <c r="P106" i="149" s="1"/>
  <c r="L106" i="149"/>
  <c r="K106" i="149"/>
  <c r="O105" i="149"/>
  <c r="N105" i="149"/>
  <c r="L105" i="149"/>
  <c r="K105" i="149"/>
  <c r="H105" i="149"/>
  <c r="G105" i="149"/>
  <c r="E105" i="149"/>
  <c r="D105" i="149"/>
  <c r="O85" i="149"/>
  <c r="O84" i="149"/>
  <c r="O83" i="149"/>
  <c r="O82" i="149"/>
  <c r="O81" i="149"/>
  <c r="O80" i="149"/>
  <c r="O79" i="149"/>
  <c r="O78" i="149"/>
  <c r="O77" i="149"/>
  <c r="O76" i="149"/>
  <c r="O75" i="149"/>
  <c r="O74" i="149"/>
  <c r="O73" i="149"/>
  <c r="O72" i="149"/>
  <c r="O71" i="149"/>
  <c r="O70" i="149"/>
  <c r="O69" i="149"/>
  <c r="O64" i="149"/>
  <c r="O63" i="149"/>
  <c r="O62" i="149"/>
  <c r="O61" i="149"/>
  <c r="O60" i="149"/>
  <c r="O59" i="149"/>
  <c r="O58" i="149"/>
  <c r="O57" i="149"/>
  <c r="O56" i="149"/>
  <c r="O55" i="149"/>
  <c r="O54" i="149"/>
  <c r="O53" i="149"/>
  <c r="O52" i="149"/>
  <c r="O51" i="149"/>
  <c r="O50" i="149"/>
  <c r="O49" i="149"/>
  <c r="O48" i="149"/>
  <c r="O43" i="149"/>
  <c r="O42" i="149"/>
  <c r="O41" i="149"/>
  <c r="O40" i="149"/>
  <c r="O39" i="149"/>
  <c r="O38" i="149"/>
  <c r="O37" i="149"/>
  <c r="O36" i="149"/>
  <c r="O35" i="149"/>
  <c r="O34" i="149"/>
  <c r="O33" i="149"/>
  <c r="O32" i="149"/>
  <c r="O31" i="149"/>
  <c r="O30" i="149"/>
  <c r="O29" i="149"/>
  <c r="O28" i="149"/>
  <c r="O27" i="149"/>
  <c r="O22" i="149"/>
  <c r="O21" i="149"/>
  <c r="O20" i="149"/>
  <c r="O19" i="149"/>
  <c r="O18" i="149"/>
  <c r="O17" i="149"/>
  <c r="O16" i="149"/>
  <c r="O15" i="149"/>
  <c r="O14" i="149"/>
  <c r="O13" i="149"/>
  <c r="O12" i="149"/>
  <c r="V112" i="149" s="1"/>
  <c r="O11" i="149"/>
  <c r="O10" i="149"/>
  <c r="O9" i="149"/>
  <c r="O8" i="149"/>
  <c r="O7" i="149"/>
  <c r="O6" i="149"/>
  <c r="T18" i="144"/>
  <c r="T10" i="144"/>
  <c r="T26" i="144" s="1"/>
  <c r="V24" i="144"/>
  <c r="V21" i="144"/>
  <c r="V20" i="144"/>
  <c r="V12" i="144"/>
  <c r="V25" i="144"/>
  <c r="V23" i="144"/>
  <c r="V22" i="144"/>
  <c r="U20" i="144"/>
  <c r="U26" i="144" s="1"/>
  <c r="V19" i="144"/>
  <c r="V18" i="144"/>
  <c r="V16" i="144"/>
  <c r="V15" i="144"/>
  <c r="V13" i="144"/>
  <c r="V11" i="144"/>
  <c r="V9" i="144"/>
  <c r="V8" i="144"/>
  <c r="V7" i="144"/>
  <c r="V113" i="149" l="1"/>
  <c r="S14" i="148"/>
  <c r="X41" i="172"/>
  <c r="Y41" i="172" s="1"/>
  <c r="Y15" i="172"/>
  <c r="V14" i="148"/>
  <c r="E114" i="155"/>
  <c r="N37" i="148"/>
  <c r="O14" i="148"/>
  <c r="S19" i="148"/>
  <c r="X46" i="172"/>
  <c r="Y46" i="172" s="1"/>
  <c r="Y20" i="172"/>
  <c r="E164" i="155"/>
  <c r="N42" i="148"/>
  <c r="V19" i="148"/>
  <c r="O19" i="148"/>
  <c r="M5" i="148"/>
  <c r="M22" i="148" s="1"/>
  <c r="V13" i="148"/>
  <c r="X40" i="172"/>
  <c r="Y40" i="172" s="1"/>
  <c r="Y14" i="172"/>
  <c r="N36" i="148"/>
  <c r="S13" i="148"/>
  <c r="E104" i="155"/>
  <c r="O13" i="148"/>
  <c r="S6" i="148"/>
  <c r="X33" i="172"/>
  <c r="Y33" i="172" s="1"/>
  <c r="Y7" i="172"/>
  <c r="N29" i="148"/>
  <c r="V6" i="148"/>
  <c r="E25" i="155"/>
  <c r="O6" i="148"/>
  <c r="S8" i="148"/>
  <c r="X35" i="172"/>
  <c r="N31" i="148"/>
  <c r="V8" i="148"/>
  <c r="E54" i="155"/>
  <c r="O8" i="148"/>
  <c r="S10" i="148"/>
  <c r="X37" i="172"/>
  <c r="Y37" i="172" s="1"/>
  <c r="Y11" i="172"/>
  <c r="N33" i="148"/>
  <c r="V10" i="148"/>
  <c r="E74" i="155"/>
  <c r="O10" i="148"/>
  <c r="N41" i="148"/>
  <c r="X45" i="172"/>
  <c r="Y45" i="172" s="1"/>
  <c r="Y19" i="172"/>
  <c r="S18" i="148"/>
  <c r="V18" i="148"/>
  <c r="E154" i="155"/>
  <c r="O18" i="148"/>
  <c r="S11" i="148"/>
  <c r="X38" i="172"/>
  <c r="Y38" i="172" s="1"/>
  <c r="Y12" i="172"/>
  <c r="E84" i="155"/>
  <c r="V11" i="148"/>
  <c r="N34" i="148"/>
  <c r="O11" i="148"/>
  <c r="S16" i="148"/>
  <c r="X43" i="172"/>
  <c r="Y43" i="172" s="1"/>
  <c r="Y17" i="172"/>
  <c r="N39" i="148"/>
  <c r="V16" i="148"/>
  <c r="E134" i="155"/>
  <c r="O16" i="148"/>
  <c r="S7" i="148"/>
  <c r="X34" i="172"/>
  <c r="Y34" i="172" s="1"/>
  <c r="Y8" i="172"/>
  <c r="V7" i="148"/>
  <c r="N30" i="148"/>
  <c r="E44" i="155"/>
  <c r="O7" i="148"/>
  <c r="S15" i="148"/>
  <c r="X42" i="172"/>
  <c r="Y42" i="172" s="1"/>
  <c r="Y16" i="172"/>
  <c r="E124" i="155"/>
  <c r="N38" i="148"/>
  <c r="V15" i="148"/>
  <c r="O15" i="148"/>
  <c r="S20" i="148"/>
  <c r="X47" i="172"/>
  <c r="Y47" i="172" s="1"/>
  <c r="Y21" i="172"/>
  <c r="V20" i="148"/>
  <c r="E174" i="155"/>
  <c r="N43" i="148"/>
  <c r="O20" i="148"/>
  <c r="N27" i="148"/>
  <c r="X31" i="172"/>
  <c r="Y31" i="172" s="1"/>
  <c r="Y5" i="172"/>
  <c r="V4" i="148"/>
  <c r="S4" i="148"/>
  <c r="O4" i="148"/>
  <c r="S12" i="148"/>
  <c r="X39" i="172"/>
  <c r="Y39" i="172" s="1"/>
  <c r="Y13" i="172"/>
  <c r="N35" i="148"/>
  <c r="E94" i="155"/>
  <c r="V12" i="148"/>
  <c r="O12" i="148"/>
  <c r="V9" i="148"/>
  <c r="X36" i="172"/>
  <c r="Y36" i="172" s="1"/>
  <c r="Y10" i="172"/>
  <c r="N32" i="148"/>
  <c r="E64" i="155"/>
  <c r="S9" i="148"/>
  <c r="O9" i="148"/>
  <c r="X44" i="172"/>
  <c r="Y44" i="172" s="1"/>
  <c r="Y18" i="172"/>
  <c r="N40" i="148"/>
  <c r="S17" i="148"/>
  <c r="V17" i="148"/>
  <c r="E144" i="155"/>
  <c r="O17" i="148"/>
  <c r="X14" i="154"/>
  <c r="Y14" i="154" s="1"/>
  <c r="V114" i="149"/>
  <c r="M108" i="149"/>
  <c r="V107" i="149"/>
  <c r="M107" i="149"/>
  <c r="P108" i="149"/>
  <c r="V109" i="149"/>
  <c r="V110" i="149"/>
  <c r="M109" i="149"/>
  <c r="P110" i="149"/>
  <c r="M113" i="149"/>
  <c r="M117" i="149"/>
  <c r="Q117" i="149" s="1"/>
  <c r="T149" i="149"/>
  <c r="V106" i="149"/>
  <c r="V108" i="149"/>
  <c r="M118" i="149"/>
  <c r="P119" i="149"/>
  <c r="X10" i="154"/>
  <c r="Y10" i="154" s="1"/>
  <c r="X18" i="154"/>
  <c r="Y18" i="154" s="1"/>
  <c r="X9" i="154"/>
  <c r="X13" i="154"/>
  <c r="Y13" i="154" s="1"/>
  <c r="X17" i="154"/>
  <c r="Y17" i="154" s="1"/>
  <c r="X21" i="154"/>
  <c r="Y21" i="154" s="1"/>
  <c r="X12" i="154"/>
  <c r="Y12" i="154" s="1"/>
  <c r="X16" i="154"/>
  <c r="Y16" i="154" s="1"/>
  <c r="X20" i="154"/>
  <c r="Y20" i="154" s="1"/>
  <c r="X8" i="154"/>
  <c r="Y8" i="154" s="1"/>
  <c r="X7" i="154"/>
  <c r="Y7" i="154" s="1"/>
  <c r="X5" i="154"/>
  <c r="Y5" i="154" s="1"/>
  <c r="X11" i="154"/>
  <c r="Y11" i="154" s="1"/>
  <c r="X15" i="154"/>
  <c r="Y15" i="154" s="1"/>
  <c r="X19" i="154"/>
  <c r="Y19" i="154" s="1"/>
  <c r="M122" i="149"/>
  <c r="P121" i="149"/>
  <c r="M121" i="149"/>
  <c r="Q108" i="149"/>
  <c r="M119" i="149"/>
  <c r="M111" i="149"/>
  <c r="P112" i="149"/>
  <c r="M115" i="149"/>
  <c r="P122" i="149"/>
  <c r="Q122" i="149" s="1"/>
  <c r="M106" i="149"/>
  <c r="Q106" i="149" s="1"/>
  <c r="P115" i="149"/>
  <c r="P120" i="149"/>
  <c r="V115" i="149"/>
  <c r="V116" i="149"/>
  <c r="V117" i="149"/>
  <c r="V118" i="149"/>
  <c r="V119" i="149"/>
  <c r="V120" i="149"/>
  <c r="V122" i="149"/>
  <c r="W107" i="149"/>
  <c r="W108" i="149"/>
  <c r="X108" i="149" s="1"/>
  <c r="P118" i="149"/>
  <c r="P109" i="149"/>
  <c r="W109" i="149"/>
  <c r="X109" i="149" s="1"/>
  <c r="W110" i="149"/>
  <c r="W111" i="149"/>
  <c r="W112" i="149"/>
  <c r="X112" i="149" s="1"/>
  <c r="W113" i="149"/>
  <c r="X113" i="149" s="1"/>
  <c r="W114" i="149"/>
  <c r="P107" i="149"/>
  <c r="Q107" i="149" s="1"/>
  <c r="P113" i="149"/>
  <c r="W115" i="149"/>
  <c r="W116" i="149"/>
  <c r="W117" i="149"/>
  <c r="W118" i="149"/>
  <c r="W119" i="149"/>
  <c r="W121" i="149"/>
  <c r="W122" i="149"/>
  <c r="O124" i="149"/>
  <c r="M110" i="149"/>
  <c r="P111" i="149"/>
  <c r="P116" i="149"/>
  <c r="K124" i="149"/>
  <c r="P114" i="149"/>
  <c r="M120" i="149"/>
  <c r="W106" i="149"/>
  <c r="V111" i="149"/>
  <c r="S124" i="149"/>
  <c r="V121" i="149"/>
  <c r="W120" i="149"/>
  <c r="L124" i="149"/>
  <c r="M114" i="149"/>
  <c r="M116" i="149"/>
  <c r="N124" i="149"/>
  <c r="M112" i="149"/>
  <c r="S26" i="144"/>
  <c r="V17" i="144"/>
  <c r="V14" i="144"/>
  <c r="V10" i="144"/>
  <c r="X6" i="154" l="1"/>
  <c r="Y6" i="154" s="1"/>
  <c r="X107" i="149"/>
  <c r="X114" i="149"/>
  <c r="L86" i="163"/>
  <c r="J86" i="163"/>
  <c r="F86" i="163"/>
  <c r="K86" i="163"/>
  <c r="G86" i="163"/>
  <c r="H86" i="163"/>
  <c r="I86" i="163"/>
  <c r="F84" i="155"/>
  <c r="H84" i="155"/>
  <c r="K84" i="155"/>
  <c r="I84" i="155"/>
  <c r="J84" i="155"/>
  <c r="G84" i="155"/>
  <c r="L84" i="155"/>
  <c r="K113" i="163"/>
  <c r="G113" i="163"/>
  <c r="F113" i="163"/>
  <c r="I113" i="163"/>
  <c r="H113" i="163"/>
  <c r="J113" i="163"/>
  <c r="L113" i="163"/>
  <c r="G77" i="163"/>
  <c r="F77" i="163"/>
  <c r="H77" i="163"/>
  <c r="I77" i="163"/>
  <c r="L77" i="163"/>
  <c r="J77" i="163"/>
  <c r="K77" i="163"/>
  <c r="I114" i="155"/>
  <c r="G114" i="155"/>
  <c r="L114" i="155"/>
  <c r="J114" i="155"/>
  <c r="K114" i="155"/>
  <c r="F114" i="155"/>
  <c r="H114" i="155"/>
  <c r="J5" i="163"/>
  <c r="K5" i="163"/>
  <c r="I5" i="163"/>
  <c r="G5" i="163"/>
  <c r="H5" i="163"/>
  <c r="L5" i="163"/>
  <c r="J158" i="163"/>
  <c r="F158" i="163"/>
  <c r="K158" i="163"/>
  <c r="G158" i="163"/>
  <c r="H158" i="163"/>
  <c r="I158" i="163"/>
  <c r="L158" i="163"/>
  <c r="H41" i="163"/>
  <c r="L41" i="163"/>
  <c r="F41" i="163"/>
  <c r="F42" i="163" s="1"/>
  <c r="I41" i="163"/>
  <c r="K41" i="163"/>
  <c r="J41" i="163"/>
  <c r="G41" i="163"/>
  <c r="L122" i="163"/>
  <c r="I122" i="163"/>
  <c r="J122" i="163"/>
  <c r="K122" i="163"/>
  <c r="H122" i="163"/>
  <c r="G122" i="163"/>
  <c r="F122" i="163"/>
  <c r="H140" i="163"/>
  <c r="G140" i="163"/>
  <c r="J140" i="163"/>
  <c r="K140" i="163"/>
  <c r="F140" i="163"/>
  <c r="I140" i="163"/>
  <c r="L140" i="163"/>
  <c r="J24" i="172"/>
  <c r="E24" i="172" s="1"/>
  <c r="Y9" i="172"/>
  <c r="H23" i="163"/>
  <c r="I7" i="119" s="1"/>
  <c r="J23" i="163"/>
  <c r="K7" i="119" s="1"/>
  <c r="L23" i="163"/>
  <c r="M7" i="119" s="1"/>
  <c r="G23" i="163"/>
  <c r="H7" i="119" s="1"/>
  <c r="K23" i="163"/>
  <c r="F23" i="163"/>
  <c r="G7" i="119" s="1"/>
  <c r="I23" i="163"/>
  <c r="J7" i="119" s="1"/>
  <c r="L95" i="163"/>
  <c r="L96" i="163" s="1"/>
  <c r="I95" i="163"/>
  <c r="K95" i="163"/>
  <c r="J95" i="163"/>
  <c r="H95" i="163"/>
  <c r="F95" i="163"/>
  <c r="G95" i="163"/>
  <c r="F164" i="155"/>
  <c r="L164" i="155"/>
  <c r="J164" i="155"/>
  <c r="H164" i="155"/>
  <c r="K164" i="155"/>
  <c r="I164" i="155"/>
  <c r="G164" i="155"/>
  <c r="F5" i="155"/>
  <c r="J5" i="155"/>
  <c r="K5" i="155"/>
  <c r="L5" i="155"/>
  <c r="G5" i="155"/>
  <c r="H5" i="155"/>
  <c r="I5" i="155"/>
  <c r="J50" i="163"/>
  <c r="I50" i="163"/>
  <c r="F50" i="163"/>
  <c r="L50" i="163"/>
  <c r="H50" i="163"/>
  <c r="G50" i="163"/>
  <c r="K50" i="163"/>
  <c r="J50" i="172"/>
  <c r="Y35" i="172"/>
  <c r="I124" i="155"/>
  <c r="H124" i="155"/>
  <c r="L124" i="155"/>
  <c r="F124" i="155"/>
  <c r="K124" i="155"/>
  <c r="G124" i="155"/>
  <c r="J124" i="155"/>
  <c r="H131" i="163"/>
  <c r="F131" i="163"/>
  <c r="I131" i="163"/>
  <c r="J131" i="163"/>
  <c r="G131" i="163"/>
  <c r="L131" i="163"/>
  <c r="K131" i="163"/>
  <c r="H68" i="163"/>
  <c r="L68" i="163"/>
  <c r="I68" i="163"/>
  <c r="J68" i="163"/>
  <c r="G68" i="163"/>
  <c r="K68" i="163"/>
  <c r="F68" i="163"/>
  <c r="G149" i="163"/>
  <c r="L149" i="163"/>
  <c r="I149" i="163"/>
  <c r="H149" i="163"/>
  <c r="J149" i="163"/>
  <c r="K149" i="163"/>
  <c r="F149" i="163"/>
  <c r="F104" i="163"/>
  <c r="L104" i="163"/>
  <c r="H104" i="163"/>
  <c r="J104" i="163"/>
  <c r="I104" i="163"/>
  <c r="K104" i="163"/>
  <c r="G104" i="163"/>
  <c r="K174" i="155"/>
  <c r="G174" i="155"/>
  <c r="F174" i="155"/>
  <c r="J174" i="155"/>
  <c r="H174" i="155"/>
  <c r="L174" i="155"/>
  <c r="I174" i="155"/>
  <c r="I59" i="163"/>
  <c r="K59" i="163"/>
  <c r="J59" i="163"/>
  <c r="H59" i="163"/>
  <c r="F59" i="163"/>
  <c r="G59" i="163"/>
  <c r="L59" i="163"/>
  <c r="G144" i="155"/>
  <c r="L144" i="155"/>
  <c r="I144" i="155"/>
  <c r="J144" i="155"/>
  <c r="F144" i="155"/>
  <c r="K144" i="155"/>
  <c r="H144" i="155"/>
  <c r="M24" i="148"/>
  <c r="M72" i="148"/>
  <c r="N45" i="148"/>
  <c r="F64" i="155"/>
  <c r="J64" i="155"/>
  <c r="H64" i="155"/>
  <c r="G64" i="155"/>
  <c r="L64" i="155"/>
  <c r="I64" i="155"/>
  <c r="K64" i="155"/>
  <c r="J94" i="155"/>
  <c r="L94" i="155"/>
  <c r="G94" i="155"/>
  <c r="K94" i="155"/>
  <c r="F94" i="155"/>
  <c r="I94" i="155"/>
  <c r="H94" i="155"/>
  <c r="L44" i="155"/>
  <c r="K44" i="155"/>
  <c r="G44" i="155"/>
  <c r="H44" i="155"/>
  <c r="I44" i="155"/>
  <c r="J44" i="155"/>
  <c r="F44" i="155"/>
  <c r="F134" i="155"/>
  <c r="G134" i="155"/>
  <c r="K134" i="155"/>
  <c r="I134" i="155"/>
  <c r="J134" i="155"/>
  <c r="H134" i="155"/>
  <c r="L134" i="155"/>
  <c r="H154" i="155"/>
  <c r="L154" i="155"/>
  <c r="F154" i="155"/>
  <c r="J154" i="155"/>
  <c r="G154" i="155"/>
  <c r="I154" i="155"/>
  <c r="K154" i="155"/>
  <c r="H74" i="155"/>
  <c r="K74" i="155"/>
  <c r="J74" i="155"/>
  <c r="F74" i="155"/>
  <c r="L74" i="155"/>
  <c r="G74" i="155"/>
  <c r="I74" i="155"/>
  <c r="J54" i="155"/>
  <c r="H54" i="155"/>
  <c r="I54" i="155"/>
  <c r="F54" i="155"/>
  <c r="G54" i="155"/>
  <c r="L54" i="155"/>
  <c r="K54" i="155"/>
  <c r="K25" i="155"/>
  <c r="G25" i="155"/>
  <c r="J25" i="155"/>
  <c r="L25" i="155"/>
  <c r="F25" i="155"/>
  <c r="H25" i="155"/>
  <c r="I25" i="155"/>
  <c r="G104" i="155"/>
  <c r="I104" i="155"/>
  <c r="H104" i="155"/>
  <c r="F104" i="155"/>
  <c r="J104" i="155"/>
  <c r="L104" i="155"/>
  <c r="L105" i="155" s="1"/>
  <c r="K104" i="155"/>
  <c r="X32" i="172"/>
  <c r="Y32" i="172" s="1"/>
  <c r="Y6" i="172"/>
  <c r="N28" i="148"/>
  <c r="V5" i="148"/>
  <c r="V22" i="148" s="1"/>
  <c r="C26" i="161" s="1"/>
  <c r="G26" i="161" s="1"/>
  <c r="E15" i="155"/>
  <c r="S5" i="148"/>
  <c r="S22" i="148" s="1"/>
  <c r="O5" i="148"/>
  <c r="O22" i="148" s="1"/>
  <c r="O72" i="148" s="1"/>
  <c r="V26" i="144"/>
  <c r="E12" i="151"/>
  <c r="J24" i="154"/>
  <c r="E24" i="154" s="1"/>
  <c r="Y9" i="154"/>
  <c r="Q119" i="149"/>
  <c r="Q113" i="149"/>
  <c r="Q118" i="149"/>
  <c r="Q109" i="149"/>
  <c r="Q110" i="149"/>
  <c r="X106" i="149"/>
  <c r="X117" i="149"/>
  <c r="Q121" i="149"/>
  <c r="P124" i="149"/>
  <c r="Q120" i="149"/>
  <c r="Q112" i="149"/>
  <c r="X110" i="149"/>
  <c r="Q111" i="149"/>
  <c r="X111" i="149"/>
  <c r="X116" i="149"/>
  <c r="Q115" i="149"/>
  <c r="X121" i="149"/>
  <c r="X115" i="149"/>
  <c r="X122" i="149"/>
  <c r="Q116" i="149"/>
  <c r="X119" i="149"/>
  <c r="Q114" i="149"/>
  <c r="X118" i="149"/>
  <c r="W124" i="149"/>
  <c r="V124" i="149"/>
  <c r="M124" i="149"/>
  <c r="X120" i="149"/>
  <c r="L7" i="119" l="1"/>
  <c r="H150" i="163"/>
  <c r="H151" i="163"/>
  <c r="H155" i="163" s="1"/>
  <c r="G6" i="163"/>
  <c r="G7" i="163"/>
  <c r="G11" i="163" s="1"/>
  <c r="F85" i="155"/>
  <c r="F86" i="155"/>
  <c r="F90" i="155" s="1"/>
  <c r="H105" i="155"/>
  <c r="H106" i="155"/>
  <c r="H110" i="155" s="1"/>
  <c r="G26" i="155"/>
  <c r="G27" i="155"/>
  <c r="G31" i="155" s="1"/>
  <c r="J56" i="155"/>
  <c r="J60" i="155" s="1"/>
  <c r="J55" i="155"/>
  <c r="K155" i="155"/>
  <c r="K156" i="155"/>
  <c r="K160" i="155" s="1"/>
  <c r="H136" i="155"/>
  <c r="H140" i="155" s="1"/>
  <c r="H135" i="155"/>
  <c r="I45" i="155"/>
  <c r="I46" i="155"/>
  <c r="I50" i="155" s="1"/>
  <c r="F95" i="155"/>
  <c r="F96" i="155"/>
  <c r="F100" i="155" s="1"/>
  <c r="G66" i="155"/>
  <c r="G70" i="155" s="1"/>
  <c r="G65" i="155"/>
  <c r="H145" i="155"/>
  <c r="H146" i="155"/>
  <c r="H150" i="155" s="1"/>
  <c r="G61" i="163"/>
  <c r="G65" i="163" s="1"/>
  <c r="G60" i="163"/>
  <c r="H176" i="155"/>
  <c r="H180" i="155" s="1"/>
  <c r="H175" i="155"/>
  <c r="J105" i="163"/>
  <c r="J106" i="163"/>
  <c r="J110" i="163" s="1"/>
  <c r="I150" i="163"/>
  <c r="I151" i="163"/>
  <c r="I155" i="163" s="1"/>
  <c r="I69" i="163"/>
  <c r="I70" i="163"/>
  <c r="I74" i="163" s="1"/>
  <c r="F132" i="163"/>
  <c r="F133" i="163"/>
  <c r="F137" i="163" s="1"/>
  <c r="I125" i="155"/>
  <c r="I126" i="155"/>
  <c r="I130" i="155" s="1"/>
  <c r="I51" i="163"/>
  <c r="I52" i="163"/>
  <c r="I56" i="163" s="1"/>
  <c r="F7" i="155"/>
  <c r="F11" i="155" s="1"/>
  <c r="F6" i="155"/>
  <c r="F165" i="155"/>
  <c r="F166" i="155"/>
  <c r="F170" i="155" s="1"/>
  <c r="I24" i="163"/>
  <c r="I25" i="163"/>
  <c r="J25" i="172"/>
  <c r="F123" i="163"/>
  <c r="F124" i="163"/>
  <c r="F128" i="163" s="1"/>
  <c r="J42" i="163"/>
  <c r="J43" i="163"/>
  <c r="J47" i="163" s="1"/>
  <c r="H159" i="163"/>
  <c r="H160" i="163"/>
  <c r="H164" i="163" s="1"/>
  <c r="F6" i="163"/>
  <c r="F7" i="163"/>
  <c r="F11" i="163" s="1"/>
  <c r="F79" i="163"/>
  <c r="F83" i="163" s="1"/>
  <c r="F78" i="163"/>
  <c r="K114" i="163"/>
  <c r="K115" i="163"/>
  <c r="K119" i="163" s="1"/>
  <c r="I88" i="163"/>
  <c r="I92" i="163" s="1"/>
  <c r="I87" i="163"/>
  <c r="F51" i="163"/>
  <c r="F52" i="163"/>
  <c r="F56" i="163" s="1"/>
  <c r="G115" i="163"/>
  <c r="G119" i="163" s="1"/>
  <c r="G114" i="163"/>
  <c r="K95" i="155"/>
  <c r="K96" i="155"/>
  <c r="K100" i="155" s="1"/>
  <c r="G105" i="155"/>
  <c r="G106" i="155"/>
  <c r="G110" i="155" s="1"/>
  <c r="K55" i="155"/>
  <c r="K56" i="155"/>
  <c r="K60" i="155" s="1"/>
  <c r="G75" i="155"/>
  <c r="G76" i="155"/>
  <c r="G80" i="155" s="1"/>
  <c r="G156" i="155"/>
  <c r="G160" i="155" s="1"/>
  <c r="G155" i="155"/>
  <c r="I136" i="155"/>
  <c r="I140" i="155" s="1"/>
  <c r="I135" i="155"/>
  <c r="G45" i="155"/>
  <c r="G46" i="155"/>
  <c r="G50" i="155" s="1"/>
  <c r="G95" i="155"/>
  <c r="G96" i="155"/>
  <c r="G100" i="155" s="1"/>
  <c r="J65" i="155"/>
  <c r="J66" i="155"/>
  <c r="J70" i="155" s="1"/>
  <c r="F146" i="155"/>
  <c r="F150" i="155" s="1"/>
  <c r="F145" i="155"/>
  <c r="H60" i="163"/>
  <c r="H61" i="163"/>
  <c r="H65" i="163" s="1"/>
  <c r="F176" i="155"/>
  <c r="F180" i="155" s="1"/>
  <c r="F175" i="155"/>
  <c r="G150" i="163"/>
  <c r="G151" i="163"/>
  <c r="G155" i="163" s="1"/>
  <c r="H69" i="163"/>
  <c r="H70" i="163"/>
  <c r="H74" i="163" s="1"/>
  <c r="J126" i="155"/>
  <c r="J130" i="155" s="1"/>
  <c r="J125" i="155"/>
  <c r="E50" i="172"/>
  <c r="K50" i="172" s="1"/>
  <c r="I6" i="155"/>
  <c r="I7" i="155"/>
  <c r="I11" i="155" s="1"/>
  <c r="G165" i="155"/>
  <c r="G166" i="155"/>
  <c r="G170" i="155" s="1"/>
  <c r="F96" i="163"/>
  <c r="F97" i="163"/>
  <c r="F101" i="163" s="1"/>
  <c r="K24" i="163"/>
  <c r="K25" i="163"/>
  <c r="I141" i="163"/>
  <c r="I142" i="163"/>
  <c r="I146" i="163" s="1"/>
  <c r="H124" i="163"/>
  <c r="H128" i="163" s="1"/>
  <c r="H123" i="163"/>
  <c r="I43" i="163"/>
  <c r="I47" i="163" s="1"/>
  <c r="I42" i="163"/>
  <c r="K159" i="163"/>
  <c r="K160" i="163"/>
  <c r="K164" i="163" s="1"/>
  <c r="K6" i="163"/>
  <c r="K7" i="163"/>
  <c r="K11" i="163" s="1"/>
  <c r="I116" i="155"/>
  <c r="I120" i="155" s="1"/>
  <c r="I115" i="155"/>
  <c r="G86" i="155"/>
  <c r="G90" i="155" s="1"/>
  <c r="G85" i="155"/>
  <c r="G87" i="163"/>
  <c r="G88" i="163"/>
  <c r="G92" i="163" s="1"/>
  <c r="H75" i="155"/>
  <c r="H76" i="155"/>
  <c r="H80" i="155" s="1"/>
  <c r="J70" i="163"/>
  <c r="J74" i="163" s="1"/>
  <c r="J69" i="163"/>
  <c r="F14" i="163"/>
  <c r="H14" i="163"/>
  <c r="L14" i="163"/>
  <c r="I14" i="163"/>
  <c r="J14" i="163"/>
  <c r="K14" i="163"/>
  <c r="G14" i="163"/>
  <c r="I75" i="155"/>
  <c r="I76" i="155"/>
  <c r="I80" i="155" s="1"/>
  <c r="H45" i="155"/>
  <c r="H46" i="155"/>
  <c r="H50" i="155" s="1"/>
  <c r="H66" i="155"/>
  <c r="H70" i="155" s="1"/>
  <c r="H65" i="155"/>
  <c r="K146" i="155"/>
  <c r="K150" i="155" s="1"/>
  <c r="K145" i="155"/>
  <c r="H105" i="163"/>
  <c r="H106" i="163"/>
  <c r="H110" i="163" s="1"/>
  <c r="H132" i="163"/>
  <c r="H133" i="163"/>
  <c r="H137" i="163" s="1"/>
  <c r="J52" i="163"/>
  <c r="J56" i="163" s="1"/>
  <c r="J51" i="163"/>
  <c r="K42" i="163"/>
  <c r="K43" i="163"/>
  <c r="K47" i="163" s="1"/>
  <c r="G115" i="155"/>
  <c r="G116" i="155"/>
  <c r="G120" i="155" s="1"/>
  <c r="I27" i="155"/>
  <c r="I31" i="155" s="1"/>
  <c r="I26" i="155"/>
  <c r="J156" i="155"/>
  <c r="J160" i="155" s="1"/>
  <c r="J155" i="155"/>
  <c r="K135" i="155"/>
  <c r="K136" i="155"/>
  <c r="K140" i="155" s="1"/>
  <c r="K45" i="155"/>
  <c r="K46" i="155"/>
  <c r="K50" i="155" s="1"/>
  <c r="F66" i="155"/>
  <c r="F70" i="155" s="1"/>
  <c r="F65" i="155"/>
  <c r="J145" i="155"/>
  <c r="J146" i="155"/>
  <c r="J150" i="155" s="1"/>
  <c r="J61" i="163"/>
  <c r="J65" i="163" s="1"/>
  <c r="J60" i="163"/>
  <c r="G176" i="155"/>
  <c r="G180" i="155" s="1"/>
  <c r="G175" i="155"/>
  <c r="F105" i="163"/>
  <c r="F106" i="163"/>
  <c r="F110" i="163" s="1"/>
  <c r="K132" i="163"/>
  <c r="K133" i="163"/>
  <c r="K137" i="163" s="1"/>
  <c r="G126" i="155"/>
  <c r="G130" i="155" s="1"/>
  <c r="G125" i="155"/>
  <c r="K51" i="163"/>
  <c r="K52" i="163"/>
  <c r="K56" i="163" s="1"/>
  <c r="H7" i="155"/>
  <c r="H11" i="155" s="1"/>
  <c r="H6" i="155"/>
  <c r="I166" i="155"/>
  <c r="I170" i="155" s="1"/>
  <c r="I165" i="155"/>
  <c r="H96" i="163"/>
  <c r="H97" i="163"/>
  <c r="H101" i="163" s="1"/>
  <c r="G24" i="163"/>
  <c r="G25" i="163"/>
  <c r="G29" i="163" s="1"/>
  <c r="F141" i="163"/>
  <c r="F142" i="163"/>
  <c r="F146" i="163" s="1"/>
  <c r="K123" i="163"/>
  <c r="K124" i="163"/>
  <c r="K128" i="163" s="1"/>
  <c r="F43" i="163"/>
  <c r="F47" i="163" s="1"/>
  <c r="F159" i="163"/>
  <c r="F160" i="163"/>
  <c r="F164" i="163" s="1"/>
  <c r="J6" i="163"/>
  <c r="J7" i="163"/>
  <c r="J11" i="163" s="1"/>
  <c r="K78" i="163"/>
  <c r="K79" i="163"/>
  <c r="K83" i="163" s="1"/>
  <c r="J114" i="163"/>
  <c r="J115" i="163"/>
  <c r="J119" i="163" s="1"/>
  <c r="J85" i="155"/>
  <c r="J86" i="155"/>
  <c r="J90" i="155" s="1"/>
  <c r="K87" i="163"/>
  <c r="K88" i="163"/>
  <c r="K92" i="163" s="1"/>
  <c r="I96" i="155"/>
  <c r="I100" i="155" s="1"/>
  <c r="I95" i="155"/>
  <c r="I132" i="163"/>
  <c r="I133" i="163"/>
  <c r="I137" i="163" s="1"/>
  <c r="J7" i="155"/>
  <c r="J11" i="155" s="1"/>
  <c r="J6" i="155"/>
  <c r="H141" i="163"/>
  <c r="H142" i="163"/>
  <c r="H146" i="163" s="1"/>
  <c r="J115" i="155"/>
  <c r="J116" i="155"/>
  <c r="J120" i="155" s="1"/>
  <c r="I155" i="155"/>
  <c r="I156" i="155"/>
  <c r="I160" i="155" s="1"/>
  <c r="F25" i="163"/>
  <c r="F29" i="163" s="1"/>
  <c r="F24" i="163"/>
  <c r="G123" i="163"/>
  <c r="G124" i="163"/>
  <c r="G128" i="163" s="1"/>
  <c r="G159" i="163"/>
  <c r="G160" i="163"/>
  <c r="G164" i="163" s="1"/>
  <c r="H87" i="163"/>
  <c r="H88" i="163"/>
  <c r="H92" i="163" s="1"/>
  <c r="K106" i="155"/>
  <c r="K110" i="155" s="1"/>
  <c r="K105" i="155"/>
  <c r="H26" i="155"/>
  <c r="H27" i="155"/>
  <c r="H31" i="155" s="1"/>
  <c r="G56" i="155"/>
  <c r="G60" i="155" s="1"/>
  <c r="G55" i="155"/>
  <c r="F76" i="155"/>
  <c r="F80" i="155" s="1"/>
  <c r="F75" i="155"/>
  <c r="F156" i="155"/>
  <c r="F160" i="155" s="1"/>
  <c r="F155" i="155"/>
  <c r="G135" i="155"/>
  <c r="G136" i="155"/>
  <c r="G140" i="155" s="1"/>
  <c r="J95" i="155"/>
  <c r="J96" i="155"/>
  <c r="J100" i="155" s="1"/>
  <c r="I145" i="155"/>
  <c r="I146" i="155"/>
  <c r="I150" i="155" s="1"/>
  <c r="K61" i="163"/>
  <c r="K65" i="163" s="1"/>
  <c r="K60" i="163"/>
  <c r="K175" i="155"/>
  <c r="K176" i="155"/>
  <c r="K180" i="155" s="1"/>
  <c r="F150" i="163"/>
  <c r="F151" i="163"/>
  <c r="F155" i="163" s="1"/>
  <c r="F69" i="163"/>
  <c r="F70" i="163"/>
  <c r="F74" i="163" s="1"/>
  <c r="K126" i="155"/>
  <c r="K130" i="155" s="1"/>
  <c r="K125" i="155"/>
  <c r="G51" i="163"/>
  <c r="G52" i="163"/>
  <c r="G56" i="163" s="1"/>
  <c r="G6" i="155"/>
  <c r="G7" i="155"/>
  <c r="G11" i="155" s="1"/>
  <c r="K165" i="155"/>
  <c r="K166" i="155"/>
  <c r="K170" i="155" s="1"/>
  <c r="J96" i="163"/>
  <c r="J97" i="163"/>
  <c r="J101" i="163" s="1"/>
  <c r="K141" i="163"/>
  <c r="K142" i="163"/>
  <c r="K146" i="163" s="1"/>
  <c r="J123" i="163"/>
  <c r="J124" i="163"/>
  <c r="J128" i="163" s="1"/>
  <c r="J159" i="163"/>
  <c r="J160" i="163"/>
  <c r="J164" i="163" s="1"/>
  <c r="H115" i="155"/>
  <c r="H116" i="155"/>
  <c r="H120" i="155" s="1"/>
  <c r="J79" i="163"/>
  <c r="J83" i="163" s="1"/>
  <c r="J78" i="163"/>
  <c r="H114" i="163"/>
  <c r="H115" i="163"/>
  <c r="H119" i="163" s="1"/>
  <c r="I85" i="155"/>
  <c r="I86" i="155"/>
  <c r="I90" i="155" s="1"/>
  <c r="F87" i="163"/>
  <c r="F88" i="163"/>
  <c r="F92" i="163" s="1"/>
  <c r="F106" i="155"/>
  <c r="F110" i="155" s="1"/>
  <c r="F105" i="155"/>
  <c r="H55" i="155"/>
  <c r="H56" i="155"/>
  <c r="H60" i="155" s="1"/>
  <c r="J45" i="155"/>
  <c r="J46" i="155"/>
  <c r="J50" i="155" s="1"/>
  <c r="K26" i="155"/>
  <c r="K27" i="155"/>
  <c r="K31" i="155" s="1"/>
  <c r="J135" i="155"/>
  <c r="J136" i="155"/>
  <c r="J140" i="155" s="1"/>
  <c r="J175" i="155"/>
  <c r="J176" i="155"/>
  <c r="J180" i="155" s="1"/>
  <c r="I6" i="163"/>
  <c r="I7" i="163"/>
  <c r="I11" i="163" s="1"/>
  <c r="K66" i="155"/>
  <c r="K70" i="155" s="1"/>
  <c r="K65" i="155"/>
  <c r="I60" i="163"/>
  <c r="I61" i="163"/>
  <c r="I65" i="163" s="1"/>
  <c r="G105" i="163"/>
  <c r="G106" i="163"/>
  <c r="G110" i="163" s="1"/>
  <c r="K150" i="163"/>
  <c r="K151" i="163"/>
  <c r="K155" i="163" s="1"/>
  <c r="K70" i="163"/>
  <c r="K74" i="163" s="1"/>
  <c r="K69" i="163"/>
  <c r="G132" i="163"/>
  <c r="G133" i="163"/>
  <c r="G137" i="163" s="1"/>
  <c r="F125" i="155"/>
  <c r="F126" i="155"/>
  <c r="F130" i="155" s="1"/>
  <c r="H51" i="163"/>
  <c r="H52" i="163"/>
  <c r="H56" i="163" s="1"/>
  <c r="H166" i="155"/>
  <c r="H170" i="155" s="1"/>
  <c r="H165" i="155"/>
  <c r="K96" i="163"/>
  <c r="K97" i="163"/>
  <c r="K101" i="163" s="1"/>
  <c r="J24" i="163"/>
  <c r="J25" i="163"/>
  <c r="J142" i="163"/>
  <c r="J146" i="163" s="1"/>
  <c r="J141" i="163"/>
  <c r="I123" i="163"/>
  <c r="I124" i="163"/>
  <c r="I128" i="163" s="1"/>
  <c r="H42" i="163"/>
  <c r="H43" i="163"/>
  <c r="H47" i="163" s="1"/>
  <c r="F116" i="155"/>
  <c r="F120" i="155" s="1"/>
  <c r="F115" i="155"/>
  <c r="I114" i="163"/>
  <c r="I115" i="163"/>
  <c r="I119" i="163" s="1"/>
  <c r="K86" i="155"/>
  <c r="K90" i="155" s="1"/>
  <c r="K85" i="155"/>
  <c r="J87" i="163"/>
  <c r="J88" i="163"/>
  <c r="J92" i="163" s="1"/>
  <c r="J26" i="155"/>
  <c r="J27" i="155"/>
  <c r="J31" i="155" s="1"/>
  <c r="I105" i="163"/>
  <c r="I106" i="163"/>
  <c r="I110" i="163" s="1"/>
  <c r="H126" i="155"/>
  <c r="H130" i="155" s="1"/>
  <c r="H125" i="155"/>
  <c r="G42" i="163"/>
  <c r="G43" i="163"/>
  <c r="G47" i="163" s="1"/>
  <c r="I160" i="163"/>
  <c r="I164" i="163" s="1"/>
  <c r="I159" i="163"/>
  <c r="H78" i="163"/>
  <c r="H79" i="163"/>
  <c r="H83" i="163" s="1"/>
  <c r="I106" i="155"/>
  <c r="I110" i="155" s="1"/>
  <c r="I105" i="155"/>
  <c r="F61" i="163"/>
  <c r="F65" i="163" s="1"/>
  <c r="F60" i="163"/>
  <c r="G97" i="163"/>
  <c r="G101" i="163" s="1"/>
  <c r="G96" i="163"/>
  <c r="G78" i="163"/>
  <c r="G79" i="163"/>
  <c r="G83" i="163" s="1"/>
  <c r="F27" i="155"/>
  <c r="F31" i="155" s="1"/>
  <c r="F26" i="155"/>
  <c r="F56" i="155"/>
  <c r="F60" i="155" s="1"/>
  <c r="F55" i="155"/>
  <c r="J75" i="155"/>
  <c r="J76" i="155"/>
  <c r="J80" i="155" s="1"/>
  <c r="F135" i="155"/>
  <c r="F136" i="155"/>
  <c r="F140" i="155" s="1"/>
  <c r="F15" i="155"/>
  <c r="J15" i="155"/>
  <c r="H15" i="155"/>
  <c r="K15" i="155"/>
  <c r="G15" i="155"/>
  <c r="I15" i="155"/>
  <c r="L15" i="155"/>
  <c r="J105" i="155"/>
  <c r="J106" i="155"/>
  <c r="J110" i="155" s="1"/>
  <c r="I55" i="155"/>
  <c r="I56" i="155"/>
  <c r="I60" i="155" s="1"/>
  <c r="K76" i="155"/>
  <c r="K80" i="155" s="1"/>
  <c r="K75" i="155"/>
  <c r="H155" i="155"/>
  <c r="H156" i="155"/>
  <c r="H160" i="155" s="1"/>
  <c r="F45" i="155"/>
  <c r="F46" i="155"/>
  <c r="F50" i="155" s="1"/>
  <c r="H96" i="155"/>
  <c r="H100" i="155" s="1"/>
  <c r="H95" i="155"/>
  <c r="I66" i="155"/>
  <c r="I70" i="155" s="1"/>
  <c r="I65" i="155"/>
  <c r="G146" i="155"/>
  <c r="G150" i="155" s="1"/>
  <c r="G145" i="155"/>
  <c r="I175" i="155"/>
  <c r="I176" i="155"/>
  <c r="I180" i="155" s="1"/>
  <c r="K105" i="163"/>
  <c r="K106" i="163"/>
  <c r="K110" i="163" s="1"/>
  <c r="J150" i="163"/>
  <c r="J151" i="163"/>
  <c r="J155" i="163" s="1"/>
  <c r="G69" i="163"/>
  <c r="G70" i="163"/>
  <c r="G74" i="163" s="1"/>
  <c r="J132" i="163"/>
  <c r="J133" i="163"/>
  <c r="J137" i="163" s="1"/>
  <c r="K7" i="155"/>
  <c r="K11" i="155" s="1"/>
  <c r="K6" i="155"/>
  <c r="J166" i="155"/>
  <c r="J170" i="155" s="1"/>
  <c r="J165" i="155"/>
  <c r="I96" i="163"/>
  <c r="I97" i="163"/>
  <c r="I101" i="163" s="1"/>
  <c r="H24" i="163"/>
  <c r="H25" i="163"/>
  <c r="G141" i="163"/>
  <c r="G142" i="163"/>
  <c r="G146" i="163" s="1"/>
  <c r="H6" i="163"/>
  <c r="H7" i="163"/>
  <c r="H11" i="163" s="1"/>
  <c r="K116" i="155"/>
  <c r="K120" i="155" s="1"/>
  <c r="K115" i="155"/>
  <c r="I78" i="163"/>
  <c r="I79" i="163"/>
  <c r="I83" i="163" s="1"/>
  <c r="F114" i="163"/>
  <c r="F115" i="163"/>
  <c r="F119" i="163" s="1"/>
  <c r="H85" i="155"/>
  <c r="H86" i="155"/>
  <c r="H90" i="155" s="1"/>
  <c r="G13" i="151"/>
  <c r="O24" i="154"/>
  <c r="M24" i="154"/>
  <c r="I24" i="154"/>
  <c r="F25" i="154"/>
  <c r="G24" i="154"/>
  <c r="S24" i="154"/>
  <c r="Q24" i="154"/>
  <c r="K24" i="154"/>
  <c r="Q124" i="149"/>
  <c r="X124" i="149"/>
  <c r="K29" i="163" l="1"/>
  <c r="L12" i="119" s="1"/>
  <c r="L8" i="119"/>
  <c r="H29" i="163"/>
  <c r="I12" i="119" s="1"/>
  <c r="I8" i="119"/>
  <c r="G12" i="119"/>
  <c r="G8" i="119"/>
  <c r="I29" i="163"/>
  <c r="J12" i="119" s="1"/>
  <c r="J8" i="119"/>
  <c r="H12" i="119"/>
  <c r="H8" i="119"/>
  <c r="J29" i="163"/>
  <c r="K12" i="119" s="1"/>
  <c r="K8" i="119"/>
  <c r="L50" i="155"/>
  <c r="L160" i="155"/>
  <c r="O139" i="163" s="1"/>
  <c r="L140" i="155"/>
  <c r="O121" i="163" s="1"/>
  <c r="L47" i="163"/>
  <c r="P7" i="162" s="1"/>
  <c r="Q7" i="162" s="1"/>
  <c r="L31" i="155"/>
  <c r="O22" i="163" s="1"/>
  <c r="O40" i="163"/>
  <c r="M50" i="155"/>
  <c r="Q7" i="148"/>
  <c r="F17" i="155"/>
  <c r="F21" i="155" s="1"/>
  <c r="F16" i="155"/>
  <c r="G15" i="163"/>
  <c r="G16" i="163"/>
  <c r="G20" i="163" s="1"/>
  <c r="N51" i="172"/>
  <c r="O24" i="172"/>
  <c r="H25" i="172"/>
  <c r="R25" i="172"/>
  <c r="F51" i="172"/>
  <c r="I24" i="172"/>
  <c r="L51" i="172"/>
  <c r="F25" i="172"/>
  <c r="L25" i="172"/>
  <c r="S24" i="172"/>
  <c r="N25" i="172"/>
  <c r="R51" i="172"/>
  <c r="M24" i="172"/>
  <c r="G24" i="172"/>
  <c r="P51" i="172"/>
  <c r="P25" i="172"/>
  <c r="H51" i="172"/>
  <c r="Q24" i="172"/>
  <c r="L80" i="155"/>
  <c r="K16" i="163"/>
  <c r="K20" i="163" s="1"/>
  <c r="K15" i="163"/>
  <c r="L150" i="155"/>
  <c r="L90" i="155"/>
  <c r="L155" i="163"/>
  <c r="P19" i="162" s="1"/>
  <c r="Q19" i="162" s="1"/>
  <c r="Y119" i="171" s="1"/>
  <c r="J15" i="163"/>
  <c r="J16" i="163"/>
  <c r="J20" i="163" s="1"/>
  <c r="L74" i="163"/>
  <c r="P10" i="162" s="1"/>
  <c r="Q10" i="162" s="1"/>
  <c r="Y110" i="171" s="1"/>
  <c r="L120" i="155"/>
  <c r="I15" i="163"/>
  <c r="I16" i="163"/>
  <c r="I20" i="163" s="1"/>
  <c r="J51" i="172"/>
  <c r="J26" i="172" s="1"/>
  <c r="L170" i="155"/>
  <c r="L137" i="163"/>
  <c r="P17" i="162" s="1"/>
  <c r="Q17" i="162" s="1"/>
  <c r="Y117" i="171" s="1"/>
  <c r="L100" i="155"/>
  <c r="I16" i="155"/>
  <c r="I17" i="155"/>
  <c r="I21" i="155" s="1"/>
  <c r="G17" i="155"/>
  <c r="G21" i="155" s="1"/>
  <c r="G16" i="155"/>
  <c r="K17" i="155"/>
  <c r="K21" i="155" s="1"/>
  <c r="K16" i="155"/>
  <c r="L146" i="163"/>
  <c r="P18" i="162" s="1"/>
  <c r="Q18" i="162" s="1"/>
  <c r="Y118" i="171" s="1"/>
  <c r="L110" i="163"/>
  <c r="P14" i="162" s="1"/>
  <c r="Q14" i="162" s="1"/>
  <c r="Y114" i="171" s="1"/>
  <c r="L128" i="163"/>
  <c r="P16" i="162" s="1"/>
  <c r="Q16" i="162" s="1"/>
  <c r="Y116" i="171" s="1"/>
  <c r="L130" i="155"/>
  <c r="L119" i="163"/>
  <c r="P15" i="162" s="1"/>
  <c r="Q15" i="162" s="1"/>
  <c r="Y115" i="171" s="1"/>
  <c r="H16" i="155"/>
  <c r="H17" i="155"/>
  <c r="H21" i="155" s="1"/>
  <c r="L60" i="155"/>
  <c r="L65" i="163"/>
  <c r="P9" i="162" s="1"/>
  <c r="Q9" i="162" s="1"/>
  <c r="Y109" i="171" s="1"/>
  <c r="L110" i="155"/>
  <c r="L70" i="155"/>
  <c r="H15" i="163"/>
  <c r="H16" i="163"/>
  <c r="H20" i="163" s="1"/>
  <c r="L101" i="163"/>
  <c r="P13" i="162" s="1"/>
  <c r="Q13" i="162" s="1"/>
  <c r="Y113" i="171" s="1"/>
  <c r="I50" i="172"/>
  <c r="O50" i="172"/>
  <c r="M50" i="172"/>
  <c r="S50" i="172"/>
  <c r="Q50" i="172"/>
  <c r="G50" i="172"/>
  <c r="L180" i="155"/>
  <c r="L83" i="163"/>
  <c r="P11" i="162" s="1"/>
  <c r="Q11" i="162" s="1"/>
  <c r="Y111" i="171" s="1"/>
  <c r="J17" i="155"/>
  <c r="J21" i="155" s="1"/>
  <c r="J16" i="155"/>
  <c r="L92" i="163"/>
  <c r="P12" i="162" s="1"/>
  <c r="Q12" i="162" s="1"/>
  <c r="Y112" i="171" s="1"/>
  <c r="L164" i="163"/>
  <c r="P20" i="162" s="1"/>
  <c r="Q20" i="162" s="1"/>
  <c r="Y120" i="171" s="1"/>
  <c r="F15" i="163"/>
  <c r="F16" i="163"/>
  <c r="F20" i="163" s="1"/>
  <c r="L56" i="163"/>
  <c r="P8" i="162" s="1"/>
  <c r="Q8" i="162" s="1"/>
  <c r="Y108" i="171" s="1"/>
  <c r="L11" i="163"/>
  <c r="K24" i="172"/>
  <c r="L11" i="155"/>
  <c r="E5" i="151"/>
  <c r="E6" i="151"/>
  <c r="BR30" i="138"/>
  <c r="BR28" i="138"/>
  <c r="BR26" i="138"/>
  <c r="BR22" i="138"/>
  <c r="BR17" i="138"/>
  <c r="BR14" i="138"/>
  <c r="BR11" i="138"/>
  <c r="BR8" i="138"/>
  <c r="L29" i="163" l="1"/>
  <c r="P6" i="162" s="1"/>
  <c r="S7" i="162"/>
  <c r="Y107" i="171"/>
  <c r="M160" i="155"/>
  <c r="Q18" i="148"/>
  <c r="M140" i="155"/>
  <c r="Q16" i="148"/>
  <c r="Y7" i="162"/>
  <c r="Z7" i="162" s="1"/>
  <c r="AA7" i="162" s="1"/>
  <c r="T7" i="162"/>
  <c r="X7" i="162" s="1"/>
  <c r="P26" i="172"/>
  <c r="N26" i="172"/>
  <c r="Q6" i="148"/>
  <c r="M47" i="163"/>
  <c r="M31" i="155"/>
  <c r="M146" i="163"/>
  <c r="L26" i="172"/>
  <c r="Y20" i="162"/>
  <c r="Z20" i="162" s="1"/>
  <c r="AA20" i="162" s="1"/>
  <c r="T20" i="162"/>
  <c r="X20" i="162" s="1"/>
  <c r="S20" i="162"/>
  <c r="O94" i="163"/>
  <c r="M101" i="163" s="1"/>
  <c r="Q13" i="148"/>
  <c r="M110" i="155"/>
  <c r="O103" i="163"/>
  <c r="M110" i="163" s="1"/>
  <c r="M120" i="155"/>
  <c r="Q14" i="148"/>
  <c r="R26" i="172"/>
  <c r="M128" i="163"/>
  <c r="T12" i="162"/>
  <c r="X12" i="162" s="1"/>
  <c r="Y12" i="162"/>
  <c r="Z12" i="162" s="1"/>
  <c r="AA12" i="162" s="1"/>
  <c r="S12" i="162"/>
  <c r="S10" i="162"/>
  <c r="T10" i="162"/>
  <c r="X10" i="162" s="1"/>
  <c r="Y10" i="162"/>
  <c r="Z10" i="162" s="1"/>
  <c r="AA10" i="162" s="1"/>
  <c r="O67" i="163"/>
  <c r="M74" i="163" s="1"/>
  <c r="M80" i="155"/>
  <c r="Q10" i="148"/>
  <c r="O4" i="163"/>
  <c r="M11" i="163" s="1"/>
  <c r="M11" i="155"/>
  <c r="Q4" i="148"/>
  <c r="V5" i="175" s="1"/>
  <c r="Q8" i="148"/>
  <c r="O49" i="163"/>
  <c r="M56" i="163" s="1"/>
  <c r="M60" i="155"/>
  <c r="O85" i="163"/>
  <c r="M92" i="163" s="1"/>
  <c r="M100" i="155"/>
  <c r="Q12" i="148"/>
  <c r="O58" i="163"/>
  <c r="M65" i="163" s="1"/>
  <c r="M70" i="155"/>
  <c r="Q9" i="148"/>
  <c r="Y17" i="162"/>
  <c r="Z17" i="162" s="1"/>
  <c r="AA17" i="162" s="1"/>
  <c r="S17" i="162"/>
  <c r="T17" i="162"/>
  <c r="X17" i="162" s="1"/>
  <c r="L21" i="155"/>
  <c r="L184" i="155" s="1"/>
  <c r="Y13" i="162"/>
  <c r="Z13" i="162" s="1"/>
  <c r="AA13" i="162" s="1"/>
  <c r="T13" i="162"/>
  <c r="X13" i="162" s="1"/>
  <c r="S13" i="162"/>
  <c r="Y14" i="162"/>
  <c r="Z14" i="162" s="1"/>
  <c r="AA14" i="162" s="1"/>
  <c r="S14" i="162"/>
  <c r="T14" i="162"/>
  <c r="X14" i="162" s="1"/>
  <c r="O148" i="163"/>
  <c r="M155" i="163" s="1"/>
  <c r="M170" i="155"/>
  <c r="Q19" i="148"/>
  <c r="T19" i="162"/>
  <c r="X19" i="162" s="1"/>
  <c r="Y19" i="162"/>
  <c r="Z19" i="162" s="1"/>
  <c r="AA19" i="162" s="1"/>
  <c r="S19" i="162"/>
  <c r="F26" i="172"/>
  <c r="Y9" i="162"/>
  <c r="Z9" i="162" s="1"/>
  <c r="AA9" i="162" s="1"/>
  <c r="T9" i="162"/>
  <c r="X9" i="162" s="1"/>
  <c r="S9" i="162"/>
  <c r="P4" i="162"/>
  <c r="Q4" i="162" s="1"/>
  <c r="S8" i="162"/>
  <c r="T8" i="162"/>
  <c r="X8" i="162" s="1"/>
  <c r="Y8" i="162"/>
  <c r="Z8" i="162" s="1"/>
  <c r="AA8" i="162" s="1"/>
  <c r="S15" i="162"/>
  <c r="T15" i="162"/>
  <c r="X15" i="162" s="1"/>
  <c r="Y15" i="162"/>
  <c r="Z15" i="162" s="1"/>
  <c r="AA15" i="162" s="1"/>
  <c r="T18" i="162"/>
  <c r="X18" i="162" s="1"/>
  <c r="S18" i="162"/>
  <c r="Y18" i="162"/>
  <c r="Z18" i="162" s="1"/>
  <c r="AA18" i="162" s="1"/>
  <c r="O76" i="163"/>
  <c r="M83" i="163" s="1"/>
  <c r="M90" i="155"/>
  <c r="Q11" i="148"/>
  <c r="T16" i="162"/>
  <c r="X16" i="162" s="1"/>
  <c r="S16" i="162"/>
  <c r="Y16" i="162"/>
  <c r="Z16" i="162" s="1"/>
  <c r="AA16" i="162" s="1"/>
  <c r="S11" i="162"/>
  <c r="Y11" i="162"/>
  <c r="Z11" i="162" s="1"/>
  <c r="AA11" i="162" s="1"/>
  <c r="T11" i="162"/>
  <c r="X11" i="162" s="1"/>
  <c r="O157" i="163"/>
  <c r="M164" i="163" s="1"/>
  <c r="M180" i="155"/>
  <c r="Q20" i="148"/>
  <c r="L20" i="163"/>
  <c r="P5" i="162" s="1"/>
  <c r="Q5" i="162" s="1"/>
  <c r="Y105" i="171" s="1"/>
  <c r="O112" i="163"/>
  <c r="M119" i="163" s="1"/>
  <c r="M130" i="155"/>
  <c r="Q15" i="148"/>
  <c r="O130" i="163"/>
  <c r="M137" i="163" s="1"/>
  <c r="M150" i="155"/>
  <c r="Q17" i="148"/>
  <c r="E25" i="151"/>
  <c r="BR5" i="138"/>
  <c r="G176" i="140"/>
  <c r="G174" i="140"/>
  <c r="E174" i="140"/>
  <c r="I174" i="140"/>
  <c r="Y4" i="162" l="1"/>
  <c r="T4" i="162"/>
  <c r="X4" i="162" s="1"/>
  <c r="P6" i="171" s="1"/>
  <c r="Q6" i="162"/>
  <c r="T6" i="162" s="1"/>
  <c r="X6" i="162" s="1"/>
  <c r="B20" i="90"/>
  <c r="G13" i="90"/>
  <c r="M29" i="163"/>
  <c r="D17" i="173"/>
  <c r="P60" i="171"/>
  <c r="P39" i="171"/>
  <c r="P81" i="171"/>
  <c r="P18" i="171"/>
  <c r="D15" i="173"/>
  <c r="P79" i="171"/>
  <c r="P58" i="171"/>
  <c r="P16" i="171"/>
  <c r="P37" i="171"/>
  <c r="D13" i="173"/>
  <c r="P56" i="171"/>
  <c r="P35" i="171"/>
  <c r="P14" i="171"/>
  <c r="P77" i="171"/>
  <c r="D12" i="173"/>
  <c r="P34" i="171"/>
  <c r="P13" i="171"/>
  <c r="P76" i="171"/>
  <c r="P55" i="171"/>
  <c r="D9" i="173"/>
  <c r="P73" i="171"/>
  <c r="P52" i="171"/>
  <c r="P10" i="171"/>
  <c r="P31" i="171"/>
  <c r="D16" i="173"/>
  <c r="P59" i="171"/>
  <c r="P38" i="171"/>
  <c r="P17" i="171"/>
  <c r="P80" i="171"/>
  <c r="D20" i="173"/>
  <c r="P42" i="171"/>
  <c r="P21" i="171"/>
  <c r="P84" i="171"/>
  <c r="P63" i="171"/>
  <c r="D19" i="173"/>
  <c r="P20" i="171"/>
  <c r="P83" i="171"/>
  <c r="P62" i="171"/>
  <c r="P41" i="171"/>
  <c r="D11" i="173"/>
  <c r="P12" i="171"/>
  <c r="P54" i="171"/>
  <c r="P33" i="171"/>
  <c r="P75" i="171"/>
  <c r="D8" i="173"/>
  <c r="P72" i="171"/>
  <c r="P9" i="171"/>
  <c r="P30" i="171"/>
  <c r="P51" i="171"/>
  <c r="D14" i="173"/>
  <c r="P78" i="171"/>
  <c r="P57" i="171"/>
  <c r="P15" i="171"/>
  <c r="P36" i="171"/>
  <c r="D21" i="173"/>
  <c r="P64" i="171"/>
  <c r="P43" i="171"/>
  <c r="P85" i="171"/>
  <c r="P22" i="171"/>
  <c r="D10" i="173"/>
  <c r="P53" i="171"/>
  <c r="P74" i="171"/>
  <c r="P32" i="171"/>
  <c r="P11" i="171"/>
  <c r="D18" i="173"/>
  <c r="P61" i="171"/>
  <c r="P40" i="171"/>
  <c r="P19" i="171"/>
  <c r="P82" i="171"/>
  <c r="Y106" i="171"/>
  <c r="Y6" i="162"/>
  <c r="Z6" i="162" s="1"/>
  <c r="AA6" i="162" s="1"/>
  <c r="G15" i="90"/>
  <c r="L169" i="163"/>
  <c r="L188" i="155"/>
  <c r="L167" i="163"/>
  <c r="S5" i="162"/>
  <c r="Y5" i="162"/>
  <c r="Z5" i="162" s="1"/>
  <c r="AA5" i="162" s="1"/>
  <c r="T5" i="162"/>
  <c r="X5" i="162" s="1"/>
  <c r="Y104" i="171"/>
  <c r="AB104" i="171" s="1"/>
  <c r="P22" i="162"/>
  <c r="M21" i="155"/>
  <c r="O13" i="163"/>
  <c r="M20" i="163" s="1"/>
  <c r="Q5" i="148"/>
  <c r="Q22" i="148" s="1"/>
  <c r="Q72" i="148" s="1"/>
  <c r="M174" i="140"/>
  <c r="S6" i="162" l="1"/>
  <c r="E19" i="58"/>
  <c r="D6" i="173"/>
  <c r="P70" i="171"/>
  <c r="P49" i="171"/>
  <c r="P28" i="171"/>
  <c r="P7" i="171"/>
  <c r="D7" i="173"/>
  <c r="P71" i="171"/>
  <c r="G27" i="58" s="1"/>
  <c r="P50" i="171"/>
  <c r="G23" i="58" s="1"/>
  <c r="C17" i="58"/>
  <c r="F27" i="58" s="1"/>
  <c r="P29" i="171"/>
  <c r="G26" i="58" s="1"/>
  <c r="P8" i="171"/>
  <c r="G22" i="58" s="1"/>
  <c r="S4" i="162"/>
  <c r="Q22" i="162"/>
  <c r="L171" i="163"/>
  <c r="P174" i="140"/>
  <c r="R174" i="140" s="1"/>
  <c r="K174" i="140"/>
  <c r="D5" i="173" l="1"/>
  <c r="D23" i="173" s="1"/>
  <c r="P69" i="171"/>
  <c r="P48" i="171"/>
  <c r="P27" i="171"/>
  <c r="Z4" i="162"/>
  <c r="Y22" i="162"/>
  <c r="M5" i="142"/>
  <c r="L5" i="142"/>
  <c r="M7" i="142"/>
  <c r="L7" i="142"/>
  <c r="M9" i="142"/>
  <c r="L9" i="142"/>
  <c r="M11" i="142"/>
  <c r="L11" i="142"/>
  <c r="F14" i="142"/>
  <c r="E172" i="140"/>
  <c r="L48" i="145"/>
  <c r="L47" i="145"/>
  <c r="S5" i="145"/>
  <c r="Q5" i="145"/>
  <c r="O5" i="145"/>
  <c r="M5" i="145"/>
  <c r="G5" i="145"/>
  <c r="M26" i="144"/>
  <c r="AA4" i="162" l="1"/>
  <c r="Z22" i="162"/>
  <c r="E4" i="161" s="1"/>
  <c r="E10" i="151"/>
  <c r="C10" i="151"/>
  <c r="G11" i="151"/>
  <c r="E15" i="151"/>
  <c r="L10" i="151" l="1"/>
  <c r="G10" i="151"/>
  <c r="E42" i="147"/>
  <c r="C20" i="143"/>
  <c r="E96" i="147" l="1"/>
  <c r="E95" i="147"/>
  <c r="E94" i="147"/>
  <c r="E93" i="147"/>
  <c r="E92" i="147"/>
  <c r="E91" i="147"/>
  <c r="E90" i="147"/>
  <c r="E89" i="147"/>
  <c r="E88" i="147"/>
  <c r="E87" i="147"/>
  <c r="E86" i="147"/>
  <c r="E85" i="147"/>
  <c r="E84" i="147"/>
  <c r="E83" i="147"/>
  <c r="E82" i="147"/>
  <c r="E81" i="147"/>
  <c r="E80" i="147"/>
  <c r="E79" i="147"/>
  <c r="E58" i="147"/>
  <c r="E57" i="147"/>
  <c r="E56" i="147"/>
  <c r="E55" i="147"/>
  <c r="E54" i="147"/>
  <c r="E53" i="147"/>
  <c r="E52" i="147"/>
  <c r="E50" i="147"/>
  <c r="E49" i="147"/>
  <c r="E48" i="147"/>
  <c r="E47" i="147"/>
  <c r="E46" i="147"/>
  <c r="E45" i="147"/>
  <c r="E44" i="147"/>
  <c r="E43" i="147"/>
  <c r="S112" i="147"/>
  <c r="Q112" i="147"/>
  <c r="P112" i="147"/>
  <c r="O112" i="147"/>
  <c r="N112" i="147"/>
  <c r="K112" i="147"/>
  <c r="J110" i="147"/>
  <c r="J108" i="147"/>
  <c r="J106" i="147"/>
  <c r="J104" i="147"/>
  <c r="J102" i="147"/>
  <c r="J100" i="147"/>
  <c r="J99" i="147"/>
  <c r="J97" i="147"/>
  <c r="J96" i="147"/>
  <c r="J94" i="147"/>
  <c r="J93" i="147"/>
  <c r="J91" i="147"/>
  <c r="J89" i="147"/>
  <c r="J88" i="147"/>
  <c r="J86" i="147"/>
  <c r="J84" i="147"/>
  <c r="J83" i="147"/>
  <c r="J82" i="147"/>
  <c r="S76" i="147"/>
  <c r="R76" i="147"/>
  <c r="Q76" i="147"/>
  <c r="P76" i="147"/>
  <c r="O76" i="147"/>
  <c r="N76" i="147"/>
  <c r="K76" i="147"/>
  <c r="J76" i="147"/>
  <c r="J112" i="147" l="1"/>
  <c r="E60" i="147"/>
  <c r="E98" i="147"/>
  <c r="F4" i="58" l="1"/>
  <c r="E53" i="145" l="1"/>
  <c r="E54" i="145"/>
  <c r="E55" i="145"/>
  <c r="E56" i="145"/>
  <c r="E58" i="145"/>
  <c r="E59" i="145"/>
  <c r="E60" i="145"/>
  <c r="E61" i="145"/>
  <c r="E62" i="145"/>
  <c r="E66" i="145"/>
  <c r="E67" i="145"/>
  <c r="E68" i="145"/>
  <c r="E69" i="145"/>
  <c r="E52" i="145"/>
  <c r="S57" i="145"/>
  <c r="S63" i="145"/>
  <c r="S64" i="145"/>
  <c r="S65" i="145"/>
  <c r="Q57" i="145"/>
  <c r="Q63" i="145"/>
  <c r="Q64" i="145"/>
  <c r="Q65" i="145"/>
  <c r="O57" i="145"/>
  <c r="O63" i="145"/>
  <c r="O64" i="145"/>
  <c r="O65" i="145"/>
  <c r="M57" i="145"/>
  <c r="M63" i="145"/>
  <c r="M64" i="145"/>
  <c r="M65" i="145"/>
  <c r="K57" i="145"/>
  <c r="K63" i="145"/>
  <c r="K64" i="145"/>
  <c r="K65" i="145"/>
  <c r="I57" i="145"/>
  <c r="I63" i="145"/>
  <c r="I64" i="145"/>
  <c r="I65" i="145"/>
  <c r="G57" i="145"/>
  <c r="G63" i="145"/>
  <c r="G64" i="145"/>
  <c r="G65" i="145"/>
  <c r="R53" i="145"/>
  <c r="R54" i="145"/>
  <c r="R55" i="145"/>
  <c r="R56" i="145"/>
  <c r="R57" i="145"/>
  <c r="R58" i="145"/>
  <c r="R59" i="145"/>
  <c r="R60" i="145"/>
  <c r="R61" i="145"/>
  <c r="R62" i="145"/>
  <c r="R63" i="145"/>
  <c r="R64" i="145"/>
  <c r="R65" i="145"/>
  <c r="R66" i="145"/>
  <c r="R67" i="145"/>
  <c r="R68" i="145"/>
  <c r="R69" i="145"/>
  <c r="R52" i="145"/>
  <c r="P53" i="145"/>
  <c r="P54" i="145"/>
  <c r="P55" i="145"/>
  <c r="P56" i="145"/>
  <c r="P57" i="145"/>
  <c r="P58" i="145"/>
  <c r="P59" i="145"/>
  <c r="P60" i="145"/>
  <c r="P61" i="145"/>
  <c r="P62" i="145"/>
  <c r="P63" i="145"/>
  <c r="P64" i="145"/>
  <c r="P65" i="145"/>
  <c r="P66" i="145"/>
  <c r="P67" i="145"/>
  <c r="P68" i="145"/>
  <c r="P69" i="145"/>
  <c r="P52" i="145"/>
  <c r="N53" i="145"/>
  <c r="N54" i="145"/>
  <c r="N55" i="145"/>
  <c r="N56" i="145"/>
  <c r="N57" i="145"/>
  <c r="N58" i="145"/>
  <c r="N59" i="145"/>
  <c r="N60" i="145"/>
  <c r="N61" i="145"/>
  <c r="N62" i="145"/>
  <c r="N63" i="145"/>
  <c r="N64" i="145"/>
  <c r="N65" i="145"/>
  <c r="N66" i="145"/>
  <c r="N67" i="145"/>
  <c r="N68" i="145"/>
  <c r="N69" i="145"/>
  <c r="N52" i="145"/>
  <c r="L53" i="145"/>
  <c r="L54" i="145"/>
  <c r="L55" i="145"/>
  <c r="L56" i="145"/>
  <c r="L57" i="145"/>
  <c r="L58" i="145"/>
  <c r="L59" i="145"/>
  <c r="L60" i="145"/>
  <c r="L61" i="145"/>
  <c r="L62" i="145"/>
  <c r="L63" i="145"/>
  <c r="L64" i="145"/>
  <c r="L65" i="145"/>
  <c r="L66" i="145"/>
  <c r="L67" i="145"/>
  <c r="L68" i="145"/>
  <c r="L69" i="145"/>
  <c r="L52" i="145"/>
  <c r="J53" i="145"/>
  <c r="J54" i="145"/>
  <c r="J55" i="145"/>
  <c r="J56" i="145"/>
  <c r="J57" i="145"/>
  <c r="J58" i="145"/>
  <c r="J59" i="145"/>
  <c r="J60" i="145"/>
  <c r="J61" i="145"/>
  <c r="J62" i="145"/>
  <c r="J63" i="145"/>
  <c r="J64" i="145"/>
  <c r="J65" i="145"/>
  <c r="J66" i="145"/>
  <c r="J67" i="145"/>
  <c r="J68" i="145"/>
  <c r="J69" i="145"/>
  <c r="J52" i="145"/>
  <c r="H53" i="145"/>
  <c r="H54" i="145"/>
  <c r="H55" i="145"/>
  <c r="H56" i="145"/>
  <c r="H57" i="145"/>
  <c r="H58" i="145"/>
  <c r="H59" i="145"/>
  <c r="H60" i="145"/>
  <c r="H61" i="145"/>
  <c r="H62" i="145"/>
  <c r="H63" i="145"/>
  <c r="H64" i="145"/>
  <c r="H65" i="145"/>
  <c r="H66" i="145"/>
  <c r="H67" i="145"/>
  <c r="H68" i="145"/>
  <c r="H69" i="145"/>
  <c r="H52" i="145"/>
  <c r="F53" i="145"/>
  <c r="F54" i="145"/>
  <c r="F55" i="145"/>
  <c r="F56" i="145"/>
  <c r="F57" i="145"/>
  <c r="F58" i="145"/>
  <c r="F59" i="145"/>
  <c r="F60" i="145"/>
  <c r="F61" i="145"/>
  <c r="F62" i="145"/>
  <c r="F63" i="145"/>
  <c r="F64" i="145"/>
  <c r="F65" i="145"/>
  <c r="F66" i="145"/>
  <c r="F67" i="145"/>
  <c r="F68" i="145"/>
  <c r="F69" i="145"/>
  <c r="F52" i="145"/>
  <c r="U41" i="145"/>
  <c r="U40" i="145"/>
  <c r="U39" i="145"/>
  <c r="U33" i="145"/>
  <c r="R47" i="145"/>
  <c r="R48" i="145" s="1"/>
  <c r="P47" i="145"/>
  <c r="P48" i="145" s="1"/>
  <c r="N47" i="145"/>
  <c r="N48" i="145" s="1"/>
  <c r="J47" i="145"/>
  <c r="H47" i="145"/>
  <c r="H48" i="145" s="1"/>
  <c r="F47" i="145"/>
  <c r="F48" i="145" s="1"/>
  <c r="R23" i="145"/>
  <c r="R24" i="145" s="1"/>
  <c r="P23" i="145"/>
  <c r="P24" i="145" s="1"/>
  <c r="N23" i="145"/>
  <c r="N24" i="145" s="1"/>
  <c r="L23" i="145"/>
  <c r="L24" i="145" s="1"/>
  <c r="J23" i="145"/>
  <c r="H23" i="145"/>
  <c r="H24" i="145" s="1"/>
  <c r="F23" i="145"/>
  <c r="F24" i="145" s="1"/>
  <c r="U9" i="145"/>
  <c r="U15" i="145"/>
  <c r="U16" i="145"/>
  <c r="U17" i="145"/>
  <c r="N71" i="145" l="1"/>
  <c r="F71" i="145"/>
  <c r="J71" i="145"/>
  <c r="R71" i="145"/>
  <c r="L71" i="145"/>
  <c r="H71" i="145"/>
  <c r="P71" i="145"/>
  <c r="S45" i="145"/>
  <c r="Q45" i="145"/>
  <c r="O45" i="145"/>
  <c r="M45" i="145"/>
  <c r="K45" i="145"/>
  <c r="I45" i="145"/>
  <c r="G45" i="145"/>
  <c r="S44" i="145"/>
  <c r="Q44" i="145"/>
  <c r="O44" i="145"/>
  <c r="M44" i="145"/>
  <c r="K44" i="145"/>
  <c r="I44" i="145"/>
  <c r="G44" i="145"/>
  <c r="S43" i="145"/>
  <c r="Q43" i="145"/>
  <c r="O43" i="145"/>
  <c r="M43" i="145"/>
  <c r="K43" i="145"/>
  <c r="I43" i="145"/>
  <c r="G43" i="145"/>
  <c r="S42" i="145"/>
  <c r="Q42" i="145"/>
  <c r="O42" i="145"/>
  <c r="M42" i="145"/>
  <c r="K42" i="145"/>
  <c r="I42" i="145"/>
  <c r="G42" i="145"/>
  <c r="E41" i="145"/>
  <c r="E40" i="145"/>
  <c r="E39" i="145"/>
  <c r="S38" i="145"/>
  <c r="Q38" i="145"/>
  <c r="O38" i="145"/>
  <c r="M38" i="145"/>
  <c r="K38" i="145"/>
  <c r="I38" i="145"/>
  <c r="G38" i="145"/>
  <c r="S37" i="145"/>
  <c r="Q37" i="145"/>
  <c r="O37" i="145"/>
  <c r="M37" i="145"/>
  <c r="K37" i="145"/>
  <c r="I37" i="145"/>
  <c r="G37" i="145"/>
  <c r="S36" i="145"/>
  <c r="Q36" i="145"/>
  <c r="O36" i="145"/>
  <c r="M36" i="145"/>
  <c r="K36" i="145"/>
  <c r="I36" i="145"/>
  <c r="G36" i="145"/>
  <c r="S35" i="145"/>
  <c r="Q35" i="145"/>
  <c r="O35" i="145"/>
  <c r="M35" i="145"/>
  <c r="K35" i="145"/>
  <c r="I35" i="145"/>
  <c r="G35" i="145"/>
  <c r="S34" i="145"/>
  <c r="Q34" i="145"/>
  <c r="O34" i="145"/>
  <c r="M34" i="145"/>
  <c r="K34" i="145"/>
  <c r="I34" i="145"/>
  <c r="G34" i="145"/>
  <c r="E33" i="145"/>
  <c r="E47" i="145" s="1"/>
  <c r="S32" i="145"/>
  <c r="Q32" i="145"/>
  <c r="O32" i="145"/>
  <c r="M32" i="145"/>
  <c r="K32" i="145"/>
  <c r="I32" i="145"/>
  <c r="G32" i="145"/>
  <c r="S31" i="145"/>
  <c r="Q31" i="145"/>
  <c r="O31" i="145"/>
  <c r="M31" i="145"/>
  <c r="K31" i="145"/>
  <c r="I31" i="145"/>
  <c r="G31" i="145"/>
  <c r="S30" i="145"/>
  <c r="Q30" i="145"/>
  <c r="O30" i="145"/>
  <c r="M30" i="145"/>
  <c r="K30" i="145"/>
  <c r="I30" i="145"/>
  <c r="G30" i="145"/>
  <c r="S29" i="145"/>
  <c r="Q29" i="145"/>
  <c r="O29" i="145"/>
  <c r="M29" i="145"/>
  <c r="K29" i="145"/>
  <c r="I29" i="145"/>
  <c r="G29" i="145"/>
  <c r="S28" i="145"/>
  <c r="Q28" i="145"/>
  <c r="O28" i="145"/>
  <c r="M28" i="145"/>
  <c r="K28" i="145"/>
  <c r="I28" i="145"/>
  <c r="G28" i="145"/>
  <c r="S21" i="145"/>
  <c r="Q21" i="145"/>
  <c r="O21" i="145"/>
  <c r="M21" i="145"/>
  <c r="K21" i="145"/>
  <c r="I21" i="145"/>
  <c r="G21" i="145"/>
  <c r="S20" i="145"/>
  <c r="Q20" i="145"/>
  <c r="O20" i="145"/>
  <c r="M20" i="145"/>
  <c r="K20" i="145"/>
  <c r="I20" i="145"/>
  <c r="G20" i="145"/>
  <c r="S19" i="145"/>
  <c r="Q19" i="145"/>
  <c r="O19" i="145"/>
  <c r="M19" i="145"/>
  <c r="K19" i="145"/>
  <c r="I19" i="145"/>
  <c r="G19" i="145"/>
  <c r="S18" i="145"/>
  <c r="Q18" i="145"/>
  <c r="O18" i="145"/>
  <c r="M18" i="145"/>
  <c r="K18" i="145"/>
  <c r="I18" i="145"/>
  <c r="G18" i="145"/>
  <c r="E17" i="145"/>
  <c r="E65" i="145" s="1"/>
  <c r="E16" i="145"/>
  <c r="E64" i="145" s="1"/>
  <c r="E15" i="145"/>
  <c r="S13" i="145"/>
  <c r="Q13" i="145"/>
  <c r="O13" i="145"/>
  <c r="M13" i="145"/>
  <c r="K13" i="145"/>
  <c r="I13" i="145"/>
  <c r="G13" i="145"/>
  <c r="S12" i="145"/>
  <c r="Q12" i="145"/>
  <c r="O12" i="145"/>
  <c r="M12" i="145"/>
  <c r="K12" i="145"/>
  <c r="I12" i="145"/>
  <c r="G12" i="145"/>
  <c r="S11" i="145"/>
  <c r="Q11" i="145"/>
  <c r="O11" i="145"/>
  <c r="M11" i="145"/>
  <c r="K11" i="145"/>
  <c r="I11" i="145"/>
  <c r="G11" i="145"/>
  <c r="S10" i="145"/>
  <c r="Q10" i="145"/>
  <c r="O10" i="145"/>
  <c r="M10" i="145"/>
  <c r="K10" i="145"/>
  <c r="I10" i="145"/>
  <c r="G10" i="145"/>
  <c r="E9" i="145"/>
  <c r="S8" i="145"/>
  <c r="Q8" i="145"/>
  <c r="O8" i="145"/>
  <c r="M8" i="145"/>
  <c r="K8" i="145"/>
  <c r="I8" i="145"/>
  <c r="G8" i="145"/>
  <c r="S7" i="145"/>
  <c r="Q7" i="145"/>
  <c r="O7" i="145"/>
  <c r="M7" i="145"/>
  <c r="K7" i="145"/>
  <c r="I7" i="145"/>
  <c r="G7" i="145"/>
  <c r="S6" i="145"/>
  <c r="Q6" i="145"/>
  <c r="O6" i="145"/>
  <c r="M6" i="145"/>
  <c r="K6" i="145"/>
  <c r="I6" i="145"/>
  <c r="G6" i="145"/>
  <c r="K5" i="145"/>
  <c r="I5" i="145"/>
  <c r="U29" i="145" l="1"/>
  <c r="U45" i="145"/>
  <c r="U35" i="145"/>
  <c r="Q23" i="145"/>
  <c r="Q24" i="145" s="1"/>
  <c r="O23" i="145"/>
  <c r="O24" i="145" s="1"/>
  <c r="M23" i="145"/>
  <c r="M24" i="145" s="1"/>
  <c r="K23" i="145"/>
  <c r="K24" i="145" s="1"/>
  <c r="I23" i="145"/>
  <c r="I24" i="145" s="1"/>
  <c r="G23" i="145"/>
  <c r="G24" i="145" s="1"/>
  <c r="K53" i="145"/>
  <c r="G55" i="145"/>
  <c r="O55" i="145"/>
  <c r="I56" i="145"/>
  <c r="I58" i="145"/>
  <c r="Q58" i="145"/>
  <c r="K59" i="145"/>
  <c r="S59" i="145"/>
  <c r="M60" i="145"/>
  <c r="U13" i="145"/>
  <c r="G61" i="145"/>
  <c r="K52" i="145"/>
  <c r="S52" i="145"/>
  <c r="M53" i="145"/>
  <c r="U7" i="145"/>
  <c r="G54" i="145"/>
  <c r="O54" i="145"/>
  <c r="I55" i="145"/>
  <c r="Q55" i="145"/>
  <c r="K56" i="145"/>
  <c r="S56" i="145"/>
  <c r="K58" i="145"/>
  <c r="S58" i="145"/>
  <c r="M59" i="145"/>
  <c r="G60" i="145"/>
  <c r="U12" i="145"/>
  <c r="O60" i="145"/>
  <c r="I61" i="145"/>
  <c r="Q61" i="145"/>
  <c r="K62" i="145"/>
  <c r="S62" i="145"/>
  <c r="U18" i="145"/>
  <c r="G66" i="145"/>
  <c r="O66" i="145"/>
  <c r="I67" i="145"/>
  <c r="Q67" i="145"/>
  <c r="K68" i="145"/>
  <c r="S68" i="145"/>
  <c r="M69" i="145"/>
  <c r="U28" i="145"/>
  <c r="U32" i="145"/>
  <c r="U34" i="145"/>
  <c r="U38" i="145"/>
  <c r="U44" i="145"/>
  <c r="M52" i="145"/>
  <c r="G53" i="145"/>
  <c r="U6" i="145"/>
  <c r="O53" i="145"/>
  <c r="I54" i="145"/>
  <c r="Q54" i="145"/>
  <c r="K55" i="145"/>
  <c r="S55" i="145"/>
  <c r="M56" i="145"/>
  <c r="E57" i="145"/>
  <c r="E23" i="145"/>
  <c r="M58" i="145"/>
  <c r="G59" i="145"/>
  <c r="U11" i="145"/>
  <c r="O59" i="145"/>
  <c r="I60" i="145"/>
  <c r="Q60" i="145"/>
  <c r="K61" i="145"/>
  <c r="S61" i="145"/>
  <c r="M62" i="145"/>
  <c r="E63" i="145"/>
  <c r="I66" i="145"/>
  <c r="Q66" i="145"/>
  <c r="K67" i="145"/>
  <c r="S67" i="145"/>
  <c r="M68" i="145"/>
  <c r="G69" i="145"/>
  <c r="U21" i="145"/>
  <c r="O69" i="145"/>
  <c r="U31" i="145"/>
  <c r="U37" i="145"/>
  <c r="U43" i="145"/>
  <c r="I52" i="145"/>
  <c r="S53" i="145"/>
  <c r="U5" i="145"/>
  <c r="G52" i="145"/>
  <c r="O52" i="145"/>
  <c r="I53" i="145"/>
  <c r="Q53" i="145"/>
  <c r="K54" i="145"/>
  <c r="S54" i="145"/>
  <c r="M55" i="145"/>
  <c r="U8" i="145"/>
  <c r="G56" i="145"/>
  <c r="O56" i="145"/>
  <c r="U10" i="145"/>
  <c r="G58" i="145"/>
  <c r="O58" i="145"/>
  <c r="I59" i="145"/>
  <c r="Q59" i="145"/>
  <c r="K60" i="145"/>
  <c r="S60" i="145"/>
  <c r="M61" i="145"/>
  <c r="U14" i="145"/>
  <c r="G62" i="145"/>
  <c r="O62" i="145"/>
  <c r="K66" i="145"/>
  <c r="S66" i="145"/>
  <c r="M67" i="145"/>
  <c r="G68" i="145"/>
  <c r="U20" i="145"/>
  <c r="O68" i="145"/>
  <c r="I69" i="145"/>
  <c r="Q69" i="145"/>
  <c r="U30" i="145"/>
  <c r="U36" i="145"/>
  <c r="U42" i="145"/>
  <c r="Q52" i="145"/>
  <c r="M54" i="145"/>
  <c r="Q56" i="145"/>
  <c r="O61" i="145"/>
  <c r="I62" i="145"/>
  <c r="Q62" i="145"/>
  <c r="M66" i="145"/>
  <c r="G67" i="145"/>
  <c r="U19" i="145"/>
  <c r="O67" i="145"/>
  <c r="I68" i="145"/>
  <c r="Q68" i="145"/>
  <c r="K69" i="145"/>
  <c r="S69" i="145"/>
  <c r="D3" i="90"/>
  <c r="G3" i="119"/>
  <c r="O18" i="144"/>
  <c r="O25" i="144"/>
  <c r="L24" i="144"/>
  <c r="O24" i="144" s="1"/>
  <c r="L23" i="144"/>
  <c r="O23" i="144" s="1"/>
  <c r="O22" i="144"/>
  <c r="L21" i="144"/>
  <c r="O21" i="144" s="1"/>
  <c r="N20" i="144"/>
  <c r="L20" i="144"/>
  <c r="O20" i="144" s="1"/>
  <c r="O19" i="144"/>
  <c r="L17" i="144"/>
  <c r="O17" i="144" s="1"/>
  <c r="O16" i="144"/>
  <c r="O15" i="144"/>
  <c r="L14" i="144"/>
  <c r="O14" i="144" s="1"/>
  <c r="O13" i="144"/>
  <c r="L12" i="144"/>
  <c r="O12" i="144" s="1"/>
  <c r="O11" i="144"/>
  <c r="O9" i="144"/>
  <c r="O8" i="144"/>
  <c r="O7" i="144"/>
  <c r="L7" i="144"/>
  <c r="J25" i="144"/>
  <c r="G24" i="144"/>
  <c r="J24" i="144" s="1"/>
  <c r="G23" i="144"/>
  <c r="J23" i="144" s="1"/>
  <c r="J22" i="144"/>
  <c r="G21" i="144"/>
  <c r="J21" i="144" s="1"/>
  <c r="I20" i="144"/>
  <c r="G20" i="144"/>
  <c r="J20" i="144" s="1"/>
  <c r="J19" i="144"/>
  <c r="I18" i="144"/>
  <c r="I26" i="144" s="1"/>
  <c r="H18" i="144"/>
  <c r="G17" i="144"/>
  <c r="J17" i="144" s="1"/>
  <c r="J16" i="144"/>
  <c r="J15" i="144"/>
  <c r="G14" i="144"/>
  <c r="J14" i="144" s="1"/>
  <c r="J13" i="144"/>
  <c r="G12" i="144"/>
  <c r="J12" i="144" s="1"/>
  <c r="J11" i="144"/>
  <c r="H10" i="144"/>
  <c r="J9" i="144"/>
  <c r="J8" i="144"/>
  <c r="G7" i="144"/>
  <c r="C10" i="143"/>
  <c r="D10" i="143" s="1"/>
  <c r="C11" i="143"/>
  <c r="D11" i="143" s="1"/>
  <c r="C12" i="143"/>
  <c r="C13" i="143"/>
  <c r="C14" i="143"/>
  <c r="C15" i="143"/>
  <c r="D15" i="143" s="1"/>
  <c r="C16" i="143"/>
  <c r="C17" i="143"/>
  <c r="C18" i="143"/>
  <c r="D18" i="143" s="1"/>
  <c r="C19" i="143"/>
  <c r="D19" i="143" s="1"/>
  <c r="C21" i="143"/>
  <c r="C8" i="143"/>
  <c r="C7" i="143"/>
  <c r="C6" i="143"/>
  <c r="C5" i="143"/>
  <c r="C4" i="143"/>
  <c r="D28" i="143"/>
  <c r="D21" i="143"/>
  <c r="D20" i="143"/>
  <c r="D17" i="143"/>
  <c r="D16" i="143"/>
  <c r="D14" i="143"/>
  <c r="D13" i="143"/>
  <c r="D12" i="143"/>
  <c r="C9" i="143"/>
  <c r="D9" i="143" s="1"/>
  <c r="D8" i="143"/>
  <c r="D7" i="143"/>
  <c r="D6" i="143"/>
  <c r="D5" i="143"/>
  <c r="D4" i="143"/>
  <c r="L26" i="144" l="1"/>
  <c r="E71" i="145"/>
  <c r="O10" i="144"/>
  <c r="N26" i="144"/>
  <c r="J18" i="144"/>
  <c r="H26" i="144"/>
  <c r="G26" i="144"/>
  <c r="J7" i="144"/>
  <c r="J10" i="144"/>
  <c r="D23" i="143"/>
  <c r="D30" i="143" s="1"/>
  <c r="C14" i="151" l="1"/>
  <c r="L14" i="151" s="1"/>
  <c r="E14" i="151"/>
  <c r="G14" i="151" s="1"/>
  <c r="J26" i="144"/>
  <c r="C12" i="151"/>
  <c r="O26" i="144"/>
  <c r="L12" i="151" l="1"/>
  <c r="G12" i="151"/>
  <c r="G15" i="151" s="1"/>
  <c r="C15" i="151"/>
  <c r="L15" i="151" s="1"/>
  <c r="F6" i="142"/>
  <c r="F8" i="142"/>
  <c r="F11" i="142"/>
  <c r="F12" i="142"/>
  <c r="G14" i="142" s="1"/>
  <c r="A13" i="142"/>
  <c r="A11" i="142"/>
  <c r="A9" i="142"/>
  <c r="A7" i="142"/>
  <c r="A8" i="142"/>
  <c r="A14" i="142"/>
  <c r="A12" i="142"/>
  <c r="A10" i="142"/>
  <c r="F9" i="142"/>
  <c r="F10" i="142"/>
  <c r="F13" i="142"/>
  <c r="F5" i="142"/>
  <c r="F4" i="142"/>
  <c r="B15" i="142"/>
  <c r="G11" i="142" l="1"/>
  <c r="G8" i="142"/>
  <c r="F7" i="142"/>
  <c r="G7" i="142" s="1"/>
  <c r="G13" i="142"/>
  <c r="G12" i="142"/>
  <c r="G10" i="142"/>
  <c r="G9" i="142" l="1"/>
  <c r="E69" i="140" l="1"/>
  <c r="BH26" i="138" l="1"/>
  <c r="E153" i="140"/>
  <c r="E126" i="140"/>
  <c r="AX26" i="138"/>
  <c r="BI30" i="138"/>
  <c r="BH30" i="138"/>
  <c r="AX30" i="138"/>
  <c r="L30" i="138"/>
  <c r="I172" i="140"/>
  <c r="J66" i="141"/>
  <c r="J65" i="141"/>
  <c r="J64" i="141"/>
  <c r="J63" i="141"/>
  <c r="J62" i="141"/>
  <c r="J61" i="141"/>
  <c r="J48" i="141"/>
  <c r="J49" i="141"/>
  <c r="J50" i="141"/>
  <c r="J51" i="141"/>
  <c r="J52" i="141"/>
  <c r="J53" i="141"/>
  <c r="J54" i="141"/>
  <c r="J55" i="141"/>
  <c r="J56" i="141"/>
  <c r="J46" i="141"/>
  <c r="J47" i="141"/>
  <c r="E48" i="141" l="1"/>
  <c r="F48" i="141" s="1"/>
  <c r="Q58" i="141" s="1"/>
  <c r="E46" i="141"/>
  <c r="E47" i="141" s="1"/>
  <c r="E66" i="141"/>
  <c r="E64" i="141"/>
  <c r="E62" i="141"/>
  <c r="E65" i="141"/>
  <c r="F65" i="141" s="1"/>
  <c r="E63" i="141"/>
  <c r="E61" i="141"/>
  <c r="D65" i="141"/>
  <c r="D63" i="141"/>
  <c r="D62" i="141" s="1"/>
  <c r="D61" i="141"/>
  <c r="E93" i="141"/>
  <c r="C93" i="141"/>
  <c r="E92" i="141"/>
  <c r="C92" i="141"/>
  <c r="E91" i="141"/>
  <c r="C91" i="141"/>
  <c r="E90" i="141"/>
  <c r="C90" i="141"/>
  <c r="E89" i="141"/>
  <c r="C89" i="141"/>
  <c r="E88" i="141"/>
  <c r="C88" i="141"/>
  <c r="E87" i="141"/>
  <c r="I87" i="141" s="1"/>
  <c r="C87" i="141"/>
  <c r="E86" i="141"/>
  <c r="C86" i="141"/>
  <c r="E85" i="141"/>
  <c r="C85" i="141"/>
  <c r="E84" i="141"/>
  <c r="C84" i="141"/>
  <c r="E83" i="141"/>
  <c r="C83" i="141"/>
  <c r="E82" i="141"/>
  <c r="C82" i="141"/>
  <c r="E81" i="141"/>
  <c r="C81" i="141"/>
  <c r="E80" i="141"/>
  <c r="C80" i="141"/>
  <c r="E79" i="141"/>
  <c r="C79" i="141"/>
  <c r="E78" i="141"/>
  <c r="C78" i="141"/>
  <c r="E77" i="141"/>
  <c r="C77" i="141"/>
  <c r="E76" i="141"/>
  <c r="C76" i="141"/>
  <c r="F66" i="141"/>
  <c r="F63" i="141"/>
  <c r="A57" i="141"/>
  <c r="N56" i="141"/>
  <c r="F56" i="141"/>
  <c r="N55" i="141"/>
  <c r="E55" i="141"/>
  <c r="D55" i="141"/>
  <c r="N54" i="141"/>
  <c r="F54" i="141"/>
  <c r="Q53" i="141"/>
  <c r="N53" i="141"/>
  <c r="E53" i="141"/>
  <c r="D53" i="141"/>
  <c r="N52" i="141"/>
  <c r="F52" i="141"/>
  <c r="N51" i="141"/>
  <c r="E51" i="141"/>
  <c r="D51" i="141"/>
  <c r="N50" i="141"/>
  <c r="F50" i="141"/>
  <c r="N49" i="141"/>
  <c r="E49" i="141"/>
  <c r="D49" i="141"/>
  <c r="N48" i="141"/>
  <c r="N47" i="141"/>
  <c r="D47" i="141"/>
  <c r="F49" i="141" l="1"/>
  <c r="F62" i="141"/>
  <c r="H63" i="141" s="1"/>
  <c r="D64" i="141"/>
  <c r="F46" i="141"/>
  <c r="F47" i="141"/>
  <c r="Q49" i="141" s="1"/>
  <c r="H66" i="141"/>
  <c r="F61" i="141"/>
  <c r="H62" i="141" s="1"/>
  <c r="F55" i="141"/>
  <c r="Q65" i="141" s="1"/>
  <c r="F51" i="141"/>
  <c r="H51" i="141" s="1"/>
  <c r="F53" i="141"/>
  <c r="H53" i="141" s="1"/>
  <c r="H50" i="141"/>
  <c r="H49" i="141"/>
  <c r="H56" i="141" l="1"/>
  <c r="H52" i="141"/>
  <c r="H55" i="141"/>
  <c r="F64" i="141"/>
  <c r="H48" i="141"/>
  <c r="H47" i="141"/>
  <c r="H54" i="141"/>
  <c r="H64" i="141" l="1"/>
  <c r="H65" i="141"/>
  <c r="BH28" i="138"/>
  <c r="BH22" i="138"/>
  <c r="BH17" i="138"/>
  <c r="BH14" i="138"/>
  <c r="BH11" i="138"/>
  <c r="BH8" i="138"/>
  <c r="BH5" i="138"/>
  <c r="M172" i="140"/>
  <c r="M126" i="140"/>
  <c r="M167" i="140"/>
  <c r="I167" i="140"/>
  <c r="G167" i="140"/>
  <c r="K167" i="140" s="1"/>
  <c r="P166" i="140"/>
  <c r="R166" i="140" s="1"/>
  <c r="M166" i="140"/>
  <c r="G166" i="140" s="1"/>
  <c r="K166" i="140" s="1"/>
  <c r="I166" i="140"/>
  <c r="P165" i="140"/>
  <c r="M165" i="140"/>
  <c r="G165" i="140" s="1"/>
  <c r="K165" i="140" s="1"/>
  <c r="I165" i="140"/>
  <c r="M164" i="140"/>
  <c r="I164" i="140"/>
  <c r="G164" i="140"/>
  <c r="K164" i="140" s="1"/>
  <c r="M163" i="140"/>
  <c r="I163" i="140"/>
  <c r="G163" i="140"/>
  <c r="K163" i="140" s="1"/>
  <c r="P162" i="140"/>
  <c r="R162" i="140" s="1"/>
  <c r="M162" i="140"/>
  <c r="G162" i="140" s="1"/>
  <c r="K162" i="140" s="1"/>
  <c r="I162" i="140"/>
  <c r="P158" i="140"/>
  <c r="M158" i="140"/>
  <c r="G158" i="140" s="1"/>
  <c r="K158" i="140" s="1"/>
  <c r="I158" i="140"/>
  <c r="M157" i="140"/>
  <c r="P157" i="140" s="1"/>
  <c r="R157" i="140" s="1"/>
  <c r="I157" i="140"/>
  <c r="G157" i="140"/>
  <c r="K157" i="140" s="1"/>
  <c r="M156" i="140"/>
  <c r="I156" i="140"/>
  <c r="G156" i="140"/>
  <c r="K156" i="140" s="1"/>
  <c r="P154" i="140"/>
  <c r="R154" i="140" s="1"/>
  <c r="M154" i="140"/>
  <c r="G154" i="140" s="1"/>
  <c r="K154" i="140" s="1"/>
  <c r="I154" i="140"/>
  <c r="M153" i="140"/>
  <c r="G153" i="140" s="1"/>
  <c r="I153" i="140"/>
  <c r="M152" i="140"/>
  <c r="G152" i="140" s="1"/>
  <c r="K152" i="140" s="1"/>
  <c r="I152" i="140"/>
  <c r="P151" i="140"/>
  <c r="M151" i="140"/>
  <c r="R151" i="140" s="1"/>
  <c r="I151" i="140"/>
  <c r="G151" i="140"/>
  <c r="K151" i="140" s="1"/>
  <c r="R150" i="140"/>
  <c r="P150" i="140"/>
  <c r="M150" i="140"/>
  <c r="K150" i="140"/>
  <c r="I150" i="140"/>
  <c r="G150" i="140"/>
  <c r="M149" i="140"/>
  <c r="G149" i="140" s="1"/>
  <c r="K149" i="140" s="1"/>
  <c r="I149" i="140"/>
  <c r="M140" i="140"/>
  <c r="G140" i="140" s="1"/>
  <c r="K140" i="140" s="1"/>
  <c r="I140" i="140"/>
  <c r="P139" i="140"/>
  <c r="M139" i="140"/>
  <c r="R139" i="140" s="1"/>
  <c r="I139" i="140"/>
  <c r="G139" i="140"/>
  <c r="K139" i="140" s="1"/>
  <c r="R138" i="140"/>
  <c r="P138" i="140"/>
  <c r="M138" i="140"/>
  <c r="K138" i="140"/>
  <c r="I138" i="140"/>
  <c r="G138" i="140"/>
  <c r="M137" i="140"/>
  <c r="G137" i="140" s="1"/>
  <c r="K137" i="140" s="1"/>
  <c r="I137" i="140"/>
  <c r="M136" i="140"/>
  <c r="G136" i="140" s="1"/>
  <c r="K136" i="140" s="1"/>
  <c r="I136" i="140"/>
  <c r="P135" i="140"/>
  <c r="M135" i="140"/>
  <c r="R135" i="140" s="1"/>
  <c r="I135" i="140"/>
  <c r="G135" i="140"/>
  <c r="K135" i="140" s="1"/>
  <c r="R131" i="140"/>
  <c r="P131" i="140"/>
  <c r="M131" i="140"/>
  <c r="K131" i="140"/>
  <c r="I131" i="140"/>
  <c r="G131" i="140"/>
  <c r="M130" i="140"/>
  <c r="G130" i="140" s="1"/>
  <c r="K130" i="140" s="1"/>
  <c r="I130" i="140"/>
  <c r="M129" i="140"/>
  <c r="G129" i="140" s="1"/>
  <c r="K129" i="140" s="1"/>
  <c r="I129" i="140"/>
  <c r="P127" i="140"/>
  <c r="M127" i="140"/>
  <c r="R127" i="140" s="1"/>
  <c r="I127" i="140"/>
  <c r="G127" i="140"/>
  <c r="K127" i="140" s="1"/>
  <c r="P125" i="140"/>
  <c r="R125" i="140" s="1"/>
  <c r="M125" i="140"/>
  <c r="G125" i="140" s="1"/>
  <c r="K125" i="140" s="1"/>
  <c r="I125" i="140"/>
  <c r="P124" i="140"/>
  <c r="M124" i="140"/>
  <c r="G124" i="140" s="1"/>
  <c r="K124" i="140" s="1"/>
  <c r="I124" i="140"/>
  <c r="M123" i="140"/>
  <c r="P123" i="140" s="1"/>
  <c r="R123" i="140" s="1"/>
  <c r="I123" i="140"/>
  <c r="G123" i="140"/>
  <c r="K123" i="140" s="1"/>
  <c r="M122" i="140"/>
  <c r="I122" i="140"/>
  <c r="G122" i="140"/>
  <c r="K122" i="140" s="1"/>
  <c r="P112" i="140"/>
  <c r="R112" i="140" s="1"/>
  <c r="M112" i="140"/>
  <c r="G112" i="140" s="1"/>
  <c r="K112" i="140" s="1"/>
  <c r="I112" i="140"/>
  <c r="P111" i="140"/>
  <c r="M111" i="140"/>
  <c r="G111" i="140" s="1"/>
  <c r="K111" i="140" s="1"/>
  <c r="I111" i="140"/>
  <c r="M110" i="140"/>
  <c r="P110" i="140" s="1"/>
  <c r="R110" i="140" s="1"/>
  <c r="I110" i="140"/>
  <c r="G110" i="140"/>
  <c r="K110" i="140" s="1"/>
  <c r="M109" i="140"/>
  <c r="I109" i="140"/>
  <c r="G109" i="140"/>
  <c r="K109" i="140" s="1"/>
  <c r="P108" i="140"/>
  <c r="R108" i="140" s="1"/>
  <c r="M108" i="140"/>
  <c r="G108" i="140" s="1"/>
  <c r="K108" i="140" s="1"/>
  <c r="I108" i="140"/>
  <c r="P107" i="140"/>
  <c r="M107" i="140"/>
  <c r="G107" i="140" s="1"/>
  <c r="K107" i="140" s="1"/>
  <c r="I107" i="140"/>
  <c r="M103" i="140"/>
  <c r="P103" i="140" s="1"/>
  <c r="R103" i="140" s="1"/>
  <c r="I103" i="140"/>
  <c r="G103" i="140"/>
  <c r="K103" i="140" s="1"/>
  <c r="M102" i="140"/>
  <c r="I102" i="140"/>
  <c r="G102" i="140"/>
  <c r="K102" i="140" s="1"/>
  <c r="P101" i="140"/>
  <c r="R101" i="140" s="1"/>
  <c r="M101" i="140"/>
  <c r="G101" i="140" s="1"/>
  <c r="K101" i="140" s="1"/>
  <c r="I101" i="140"/>
  <c r="P99" i="140"/>
  <c r="M99" i="140"/>
  <c r="G99" i="140" s="1"/>
  <c r="K99" i="140" s="1"/>
  <c r="I99" i="140"/>
  <c r="M98" i="140"/>
  <c r="P98" i="140" s="1"/>
  <c r="R98" i="140" s="1"/>
  <c r="I98" i="140"/>
  <c r="G98" i="140"/>
  <c r="K98" i="140" s="1"/>
  <c r="E98" i="140"/>
  <c r="P97" i="140"/>
  <c r="R97" i="140" s="1"/>
  <c r="M97" i="140"/>
  <c r="I97" i="140"/>
  <c r="G97" i="140"/>
  <c r="K97" i="140" s="1"/>
  <c r="R96" i="140"/>
  <c r="P96" i="140"/>
  <c r="M96" i="140"/>
  <c r="K96" i="140"/>
  <c r="I96" i="140"/>
  <c r="G96" i="140"/>
  <c r="M95" i="140"/>
  <c r="G95" i="140" s="1"/>
  <c r="K95" i="140" s="1"/>
  <c r="I95" i="140"/>
  <c r="M94" i="140"/>
  <c r="G94" i="140" s="1"/>
  <c r="K94" i="140" s="1"/>
  <c r="I94" i="140"/>
  <c r="P83" i="140"/>
  <c r="M83" i="140"/>
  <c r="R83" i="140" s="1"/>
  <c r="I83" i="140"/>
  <c r="G83" i="140"/>
  <c r="K83" i="140" s="1"/>
  <c r="R82" i="140"/>
  <c r="P82" i="140"/>
  <c r="M82" i="140"/>
  <c r="K82" i="140"/>
  <c r="I82" i="140"/>
  <c r="G82" i="140"/>
  <c r="M81" i="140"/>
  <c r="I81" i="140"/>
  <c r="M80" i="140"/>
  <c r="G80" i="140" s="1"/>
  <c r="K80" i="140" s="1"/>
  <c r="I80" i="140"/>
  <c r="P79" i="140"/>
  <c r="M79" i="140"/>
  <c r="R79" i="140" s="1"/>
  <c r="I79" i="140"/>
  <c r="G79" i="140"/>
  <c r="K79" i="140" s="1"/>
  <c r="R78" i="140"/>
  <c r="P78" i="140"/>
  <c r="M78" i="140"/>
  <c r="K78" i="140"/>
  <c r="I78" i="140"/>
  <c r="G78" i="140"/>
  <c r="M74" i="140"/>
  <c r="G74" i="140" s="1"/>
  <c r="K74" i="140" s="1"/>
  <c r="I74" i="140"/>
  <c r="M73" i="140"/>
  <c r="G73" i="140" s="1"/>
  <c r="K73" i="140" s="1"/>
  <c r="I73" i="140"/>
  <c r="P72" i="140"/>
  <c r="M72" i="140"/>
  <c r="R72" i="140" s="1"/>
  <c r="I72" i="140"/>
  <c r="G72" i="140"/>
  <c r="K72" i="140" s="1"/>
  <c r="R70" i="140"/>
  <c r="P70" i="140"/>
  <c r="M70" i="140"/>
  <c r="K70" i="140"/>
  <c r="I70" i="140"/>
  <c r="G70" i="140"/>
  <c r="M69" i="140"/>
  <c r="G69" i="140" s="1"/>
  <c r="I69" i="140"/>
  <c r="M68" i="140"/>
  <c r="G68" i="140" s="1"/>
  <c r="K68" i="140" s="1"/>
  <c r="I68" i="140"/>
  <c r="M67" i="140"/>
  <c r="P67" i="140" s="1"/>
  <c r="R67" i="140" s="1"/>
  <c r="I67" i="140"/>
  <c r="G67" i="140"/>
  <c r="K67" i="140" s="1"/>
  <c r="M66" i="140"/>
  <c r="I66" i="140"/>
  <c r="G66" i="140"/>
  <c r="K66" i="140" s="1"/>
  <c r="P65" i="140"/>
  <c r="R65" i="140" s="1"/>
  <c r="M65" i="140"/>
  <c r="G65" i="140" s="1"/>
  <c r="K65" i="140" s="1"/>
  <c r="I65" i="140"/>
  <c r="M34" i="140"/>
  <c r="G34" i="140" s="1"/>
  <c r="K34" i="140" s="1"/>
  <c r="I34" i="140"/>
  <c r="M33" i="140"/>
  <c r="P33" i="140" s="1"/>
  <c r="R33" i="140" s="1"/>
  <c r="I33" i="140"/>
  <c r="G33" i="140"/>
  <c r="K33" i="140" s="1"/>
  <c r="M32" i="140"/>
  <c r="I32" i="140"/>
  <c r="G32" i="140"/>
  <c r="K32" i="140" s="1"/>
  <c r="P31" i="140"/>
  <c r="R31" i="140" s="1"/>
  <c r="M31" i="140"/>
  <c r="G31" i="140" s="1"/>
  <c r="K31" i="140" s="1"/>
  <c r="I31" i="140"/>
  <c r="M30" i="140"/>
  <c r="G30" i="140" s="1"/>
  <c r="K30" i="140" s="1"/>
  <c r="I30" i="140"/>
  <c r="M29" i="140"/>
  <c r="P29" i="140" s="1"/>
  <c r="R29" i="140" s="1"/>
  <c r="I29" i="140"/>
  <c r="G29" i="140"/>
  <c r="K29" i="140" s="1"/>
  <c r="M25" i="140"/>
  <c r="I25" i="140"/>
  <c r="G25" i="140"/>
  <c r="K25" i="140" s="1"/>
  <c r="P24" i="140"/>
  <c r="R24" i="140" s="1"/>
  <c r="M24" i="140"/>
  <c r="G24" i="140" s="1"/>
  <c r="K24" i="140" s="1"/>
  <c r="I24" i="140"/>
  <c r="M23" i="140"/>
  <c r="G23" i="140" s="1"/>
  <c r="K23" i="140" s="1"/>
  <c r="I23" i="140"/>
  <c r="M21" i="140"/>
  <c r="P21" i="140" s="1"/>
  <c r="R21" i="140" s="1"/>
  <c r="I21" i="140"/>
  <c r="G21" i="140"/>
  <c r="K21" i="140" s="1"/>
  <c r="E20" i="140"/>
  <c r="M20" i="140" s="1"/>
  <c r="E19" i="140"/>
  <c r="M19" i="140" s="1"/>
  <c r="P18" i="140"/>
  <c r="R18" i="140" s="1"/>
  <c r="M18" i="140"/>
  <c r="G18" i="140" s="1"/>
  <c r="K18" i="140" s="1"/>
  <c r="I18" i="140"/>
  <c r="M17" i="140"/>
  <c r="G17" i="140" s="1"/>
  <c r="K17" i="140" s="1"/>
  <c r="I17" i="140"/>
  <c r="M16" i="140"/>
  <c r="P16" i="140" s="1"/>
  <c r="R16" i="140" s="1"/>
  <c r="I16" i="140"/>
  <c r="G16" i="140"/>
  <c r="K16" i="140" s="1"/>
  <c r="F39" i="139"/>
  <c r="J39" i="139" s="1"/>
  <c r="F38" i="139"/>
  <c r="H38" i="139" s="1"/>
  <c r="F37" i="139"/>
  <c r="J37" i="139" s="1"/>
  <c r="F36" i="139"/>
  <c r="N36" i="139" s="1"/>
  <c r="F35" i="139"/>
  <c r="N35" i="139" s="1"/>
  <c r="F34" i="139"/>
  <c r="N34" i="139" s="1"/>
  <c r="F33" i="139"/>
  <c r="N33" i="139" s="1"/>
  <c r="F32" i="139"/>
  <c r="F31" i="139"/>
  <c r="J31" i="139" s="1"/>
  <c r="F30" i="139"/>
  <c r="H30" i="139" s="1"/>
  <c r="F29" i="139"/>
  <c r="N29" i="139" s="1"/>
  <c r="F28" i="139"/>
  <c r="J28" i="139" s="1"/>
  <c r="F27" i="139"/>
  <c r="N27" i="139" s="1"/>
  <c r="F26" i="139"/>
  <c r="J26" i="139" s="1"/>
  <c r="F25" i="139"/>
  <c r="N25" i="139" s="1"/>
  <c r="F24" i="139"/>
  <c r="F23" i="139"/>
  <c r="J23" i="139" s="1"/>
  <c r="F22" i="139"/>
  <c r="H22" i="139" s="1"/>
  <c r="F21" i="139"/>
  <c r="N21" i="139" s="1"/>
  <c r="F20" i="139"/>
  <c r="N20" i="139" s="1"/>
  <c r="H11" i="139"/>
  <c r="C11" i="139"/>
  <c r="D10" i="139"/>
  <c r="C10" i="139"/>
  <c r="AZ28" i="138"/>
  <c r="BI28" i="138" s="1"/>
  <c r="AX28" i="138"/>
  <c r="AZ26" i="138"/>
  <c r="BI26" i="138" s="1"/>
  <c r="AZ24" i="138"/>
  <c r="BA24" i="138" s="1"/>
  <c r="AK24" i="138"/>
  <c r="P24" i="138"/>
  <c r="AV23" i="138"/>
  <c r="AZ22" i="138"/>
  <c r="BI22" i="138" s="1"/>
  <c r="AX22" i="138"/>
  <c r="AP22" i="138"/>
  <c r="AN22" i="138"/>
  <c r="AI22" i="138"/>
  <c r="AG22" i="138"/>
  <c r="Q22" i="138"/>
  <c r="E22" i="138"/>
  <c r="C22" i="138"/>
  <c r="P22" i="138" s="1"/>
  <c r="R22" i="138" s="1"/>
  <c r="AV21" i="138"/>
  <c r="BE20" i="138"/>
  <c r="AV20" i="138"/>
  <c r="AQ20" i="138"/>
  <c r="P20" i="138"/>
  <c r="N20" i="138"/>
  <c r="AV19" i="138"/>
  <c r="AV18" i="138"/>
  <c r="AZ17" i="138"/>
  <c r="BI17" i="138" s="1"/>
  <c r="AX17" i="138"/>
  <c r="AP17" i="138"/>
  <c r="AN17" i="138"/>
  <c r="AM17" i="138" s="1"/>
  <c r="AI17" i="138"/>
  <c r="AG17" i="138"/>
  <c r="AC17" i="138"/>
  <c r="AA17" i="138"/>
  <c r="W17" i="138"/>
  <c r="U17" i="138"/>
  <c r="Q17" i="138"/>
  <c r="E17" i="138"/>
  <c r="C17" i="138"/>
  <c r="P17" i="138" s="1"/>
  <c r="AV16" i="138"/>
  <c r="AM16" i="138"/>
  <c r="AV15" i="138"/>
  <c r="AM15" i="138"/>
  <c r="AZ14" i="138"/>
  <c r="BI14" i="138" s="1"/>
  <c r="AX14" i="138"/>
  <c r="AP14" i="138"/>
  <c r="AN14" i="138"/>
  <c r="AM14" i="138" s="1"/>
  <c r="AI14" i="138"/>
  <c r="AG14" i="138"/>
  <c r="AC14" i="138"/>
  <c r="AA14" i="138"/>
  <c r="W14" i="138"/>
  <c r="U14" i="138"/>
  <c r="Q14" i="138"/>
  <c r="E14" i="138"/>
  <c r="C14" i="138"/>
  <c r="P14" i="138" s="1"/>
  <c r="AV13" i="138"/>
  <c r="AM13" i="138"/>
  <c r="AV12" i="138"/>
  <c r="AM12" i="138"/>
  <c r="AZ11" i="138"/>
  <c r="BI11" i="138" s="1"/>
  <c r="AX11" i="138"/>
  <c r="AP11" i="138"/>
  <c r="AN11" i="138"/>
  <c r="AI11" i="138"/>
  <c r="AG11" i="138"/>
  <c r="AC11" i="138"/>
  <c r="AA11" i="138"/>
  <c r="W11" i="138"/>
  <c r="U11" i="138"/>
  <c r="Q11" i="138"/>
  <c r="E11" i="138"/>
  <c r="C11" i="138"/>
  <c r="P11" i="138" s="1"/>
  <c r="AV10" i="138"/>
  <c r="AM10" i="138"/>
  <c r="AV9" i="138"/>
  <c r="AM9" i="138"/>
  <c r="AZ8" i="138"/>
  <c r="BI8" i="138" s="1"/>
  <c r="AX8" i="138"/>
  <c r="AP8" i="138"/>
  <c r="AN8" i="138"/>
  <c r="AM8" i="138" s="1"/>
  <c r="AI8" i="138"/>
  <c r="AG8" i="138"/>
  <c r="AC8" i="138"/>
  <c r="AA8" i="138"/>
  <c r="W8" i="138"/>
  <c r="U8" i="138"/>
  <c r="Q8" i="138"/>
  <c r="E8" i="138"/>
  <c r="C8" i="138"/>
  <c r="P8" i="138" s="1"/>
  <c r="AV7" i="138"/>
  <c r="AM7" i="138"/>
  <c r="AV6" i="138"/>
  <c r="AM6" i="138"/>
  <c r="AZ5" i="138"/>
  <c r="BI5" i="138" s="1"/>
  <c r="AX5" i="138"/>
  <c r="AP5" i="138"/>
  <c r="AN5" i="138"/>
  <c r="AM5" i="138" s="1"/>
  <c r="AI5" i="138"/>
  <c r="AG5" i="138"/>
  <c r="AC5" i="138"/>
  <c r="AA5" i="138"/>
  <c r="W5" i="138"/>
  <c r="U5" i="138"/>
  <c r="Q5" i="138"/>
  <c r="E5" i="138"/>
  <c r="C5" i="138"/>
  <c r="AJ11" i="138" l="1"/>
  <c r="AK11" i="138" s="1"/>
  <c r="H25" i="139"/>
  <c r="H37" i="139"/>
  <c r="N22" i="139"/>
  <c r="R22" i="139" s="1"/>
  <c r="T22" i="139" s="1"/>
  <c r="J29" i="139"/>
  <c r="J22" i="139"/>
  <c r="L22" i="139" s="1"/>
  <c r="N37" i="139"/>
  <c r="R37" i="139" s="1"/>
  <c r="J20" i="139"/>
  <c r="F40" i="139"/>
  <c r="F45" i="139" s="1"/>
  <c r="F43" i="139"/>
  <c r="J43" i="139" s="1"/>
  <c r="N28" i="139"/>
  <c r="R28" i="139" s="1"/>
  <c r="T28" i="139" s="1"/>
  <c r="H35" i="139"/>
  <c r="N24" i="139"/>
  <c r="R24" i="139" s="1"/>
  <c r="T24" i="139" s="1"/>
  <c r="J30" i="139"/>
  <c r="L30" i="139" s="1"/>
  <c r="N23" i="139"/>
  <c r="R23" i="139" s="1"/>
  <c r="H27" i="139"/>
  <c r="H29" i="139"/>
  <c r="N30" i="139"/>
  <c r="R30" i="139" s="1"/>
  <c r="T30" i="139" s="1"/>
  <c r="L37" i="139"/>
  <c r="K153" i="140"/>
  <c r="P153" i="140"/>
  <c r="AJ5" i="138"/>
  <c r="AK5" i="138" s="1"/>
  <c r="R8" i="138"/>
  <c r="BI24" i="138"/>
  <c r="R11" i="138"/>
  <c r="R17" i="138"/>
  <c r="AJ8" i="138"/>
  <c r="AK8" i="138" s="1"/>
  <c r="AJ22" i="138"/>
  <c r="AK22" i="138" s="1"/>
  <c r="R21" i="139"/>
  <c r="T21" i="139" s="1"/>
  <c r="R29" i="139"/>
  <c r="T29" i="139" s="1"/>
  <c r="H21" i="139"/>
  <c r="J36" i="139"/>
  <c r="J38" i="139"/>
  <c r="L38" i="139" s="1"/>
  <c r="J21" i="139"/>
  <c r="N38" i="139"/>
  <c r="R38" i="139" s="1"/>
  <c r="T38" i="139" s="1"/>
  <c r="N31" i="139"/>
  <c r="H33" i="139"/>
  <c r="N39" i="139"/>
  <c r="P172" i="140"/>
  <c r="R172" i="140" s="1"/>
  <c r="G172" i="140"/>
  <c r="K172" i="140" s="1"/>
  <c r="K69" i="140"/>
  <c r="P20" i="140"/>
  <c r="R20" i="140" s="1"/>
  <c r="G20" i="140"/>
  <c r="R66" i="140"/>
  <c r="P19" i="140"/>
  <c r="R19" i="140"/>
  <c r="G19" i="140"/>
  <c r="K19" i="140" s="1"/>
  <c r="R25" i="140"/>
  <c r="P126" i="140"/>
  <c r="R126" i="140"/>
  <c r="G126" i="140"/>
  <c r="R167" i="140"/>
  <c r="P81" i="140"/>
  <c r="R81" i="140" s="1"/>
  <c r="P95" i="140"/>
  <c r="R95" i="140" s="1"/>
  <c r="P130" i="140"/>
  <c r="R130" i="140" s="1"/>
  <c r="P137" i="140"/>
  <c r="P149" i="140"/>
  <c r="R137" i="140"/>
  <c r="R149" i="140"/>
  <c r="R17" i="140"/>
  <c r="I20" i="140"/>
  <c r="R68" i="140"/>
  <c r="P73" i="140"/>
  <c r="P80" i="140"/>
  <c r="R80" i="140" s="1"/>
  <c r="P94" i="140"/>
  <c r="R94" i="140" s="1"/>
  <c r="R99" i="140"/>
  <c r="R107" i="140"/>
  <c r="R111" i="140"/>
  <c r="R124" i="140"/>
  <c r="P129" i="140"/>
  <c r="R129" i="140" s="1"/>
  <c r="P136" i="140"/>
  <c r="R136" i="140" s="1"/>
  <c r="P140" i="140"/>
  <c r="R140" i="140" s="1"/>
  <c r="P152" i="140"/>
  <c r="R152" i="140" s="1"/>
  <c r="R153" i="140"/>
  <c r="R158" i="140"/>
  <c r="R165" i="140"/>
  <c r="P69" i="140"/>
  <c r="P34" i="140"/>
  <c r="R34" i="140" s="1"/>
  <c r="I19" i="140"/>
  <c r="K20" i="140"/>
  <c r="R73" i="140"/>
  <c r="I126" i="140"/>
  <c r="K126" i="140" s="1"/>
  <c r="P164" i="140"/>
  <c r="R164" i="140" s="1"/>
  <c r="P74" i="140"/>
  <c r="R74" i="140" s="1"/>
  <c r="P68" i="140"/>
  <c r="P17" i="140"/>
  <c r="P23" i="140"/>
  <c r="R23" i="140" s="1"/>
  <c r="P30" i="140"/>
  <c r="R30" i="140" s="1"/>
  <c r="R69" i="140"/>
  <c r="G81" i="140"/>
  <c r="K81" i="140" s="1"/>
  <c r="P25" i="140"/>
  <c r="P32" i="140"/>
  <c r="R32" i="140" s="1"/>
  <c r="P66" i="140"/>
  <c r="P102" i="140"/>
  <c r="R102" i="140" s="1"/>
  <c r="P109" i="140"/>
  <c r="R109" i="140" s="1"/>
  <c r="P122" i="140"/>
  <c r="R122" i="140" s="1"/>
  <c r="P156" i="140"/>
  <c r="R156" i="140" s="1"/>
  <c r="P163" i="140"/>
  <c r="R163" i="140" s="1"/>
  <c r="P167" i="140"/>
  <c r="R20" i="139"/>
  <c r="T20" i="139" s="1"/>
  <c r="R25" i="139"/>
  <c r="T25" i="139" s="1"/>
  <c r="R35" i="139"/>
  <c r="T35" i="139" s="1"/>
  <c r="R36" i="139"/>
  <c r="T36" i="139" s="1"/>
  <c r="R27" i="139"/>
  <c r="T27" i="139" s="1"/>
  <c r="R33" i="139"/>
  <c r="T33" i="139" s="1"/>
  <c r="R34" i="139"/>
  <c r="T34" i="139" s="1"/>
  <c r="N32" i="139"/>
  <c r="F41" i="139"/>
  <c r="H20" i="139"/>
  <c r="H28" i="139"/>
  <c r="L28" i="139" s="1"/>
  <c r="H36" i="139"/>
  <c r="H26" i="139"/>
  <c r="L26" i="139" s="1"/>
  <c r="J27" i="139"/>
  <c r="H34" i="139"/>
  <c r="J35" i="139"/>
  <c r="J34" i="139"/>
  <c r="H24" i="139"/>
  <c r="J25" i="139"/>
  <c r="L25" i="139" s="1"/>
  <c r="H32" i="139"/>
  <c r="J33" i="139"/>
  <c r="H23" i="139"/>
  <c r="L23" i="139" s="1"/>
  <c r="J24" i="139"/>
  <c r="N26" i="139"/>
  <c r="H31" i="139"/>
  <c r="L31" i="139" s="1"/>
  <c r="J32" i="139"/>
  <c r="H39" i="139"/>
  <c r="L39" i="139" s="1"/>
  <c r="R14" i="138"/>
  <c r="AJ17" i="138"/>
  <c r="AK17" i="138" s="1"/>
  <c r="AJ14" i="138"/>
  <c r="AK14" i="138" s="1"/>
  <c r="P5" i="138"/>
  <c r="R5" i="138" s="1"/>
  <c r="AM11" i="138"/>
  <c r="L34" i="139" l="1"/>
  <c r="L29" i="139"/>
  <c r="F47" i="139"/>
  <c r="H45" i="139"/>
  <c r="L20" i="139"/>
  <c r="L36" i="139"/>
  <c r="L27" i="139"/>
  <c r="L33" i="139"/>
  <c r="L35" i="139"/>
  <c r="T37" i="139"/>
  <c r="T23" i="139"/>
  <c r="J45" i="139"/>
  <c r="L21" i="139"/>
  <c r="L24" i="139"/>
  <c r="R31" i="139"/>
  <c r="T31" i="139" s="1"/>
  <c r="L32" i="139"/>
  <c r="R39" i="139"/>
  <c r="T39" i="139" s="1"/>
  <c r="H43" i="139"/>
  <c r="R32" i="139"/>
  <c r="T32" i="139" s="1"/>
  <c r="J40" i="139"/>
  <c r="H40" i="139"/>
  <c r="R26" i="139"/>
  <c r="T26" i="139" s="1"/>
  <c r="J41" i="139"/>
  <c r="H41" i="139"/>
  <c r="L45" i="139" l="1"/>
  <c r="E6" i="150" s="1"/>
  <c r="I6" i="150" s="1"/>
  <c r="K6" i="150" s="1"/>
  <c r="J7" i="168" s="1"/>
  <c r="H47" i="139"/>
  <c r="H49" i="139" s="1"/>
  <c r="J47" i="139"/>
  <c r="X28" i="145"/>
  <c r="Y28" i="145" s="1"/>
  <c r="X29" i="145"/>
  <c r="Y29" i="145" s="1"/>
  <c r="X30" i="145"/>
  <c r="Y30" i="145" s="1"/>
  <c r="X31" i="145"/>
  <c r="Y31" i="145" s="1"/>
  <c r="X32" i="145"/>
  <c r="Y32" i="145" s="1"/>
  <c r="X33" i="145"/>
  <c r="X34" i="145"/>
  <c r="Y34" i="145" s="1"/>
  <c r="X35" i="145"/>
  <c r="Y35" i="145" s="1"/>
  <c r="X36" i="145"/>
  <c r="Y36" i="145" s="1"/>
  <c r="X37" i="145"/>
  <c r="Y37" i="145" s="1"/>
  <c r="X38" i="145"/>
  <c r="Y38" i="145" s="1"/>
  <c r="X39" i="145"/>
  <c r="Y39" i="145" s="1"/>
  <c r="X40" i="145"/>
  <c r="Y40" i="145" s="1"/>
  <c r="X41" i="145"/>
  <c r="Y41" i="145" s="1"/>
  <c r="X42" i="145"/>
  <c r="Y42" i="145" s="1"/>
  <c r="X43" i="145"/>
  <c r="Y43" i="145" s="1"/>
  <c r="X44" i="145"/>
  <c r="Y44" i="145" s="1"/>
  <c r="X45" i="145"/>
  <c r="Y45" i="145" s="1"/>
  <c r="D91" i="147"/>
  <c r="F91" i="147" s="1"/>
  <c r="BG26" i="138"/>
  <c r="BK26" i="138" s="1"/>
  <c r="BG5" i="138"/>
  <c r="BK5" i="138" s="1"/>
  <c r="BG24" i="138"/>
  <c r="BK24" i="138" s="1"/>
  <c r="BG14" i="138"/>
  <c r="BK14" i="138" s="1"/>
  <c r="BG11" i="138"/>
  <c r="BK11" i="138" s="1"/>
  <c r="BG30" i="138"/>
  <c r="BK30" i="138" s="1"/>
  <c r="BG17" i="138"/>
  <c r="BG8" i="138"/>
  <c r="BK8" i="138" s="1"/>
  <c r="L43" i="139"/>
  <c r="L40" i="139"/>
  <c r="L41" i="139"/>
  <c r="BG22" i="138" l="1"/>
  <c r="BK22" i="138" s="1"/>
  <c r="E5" i="150"/>
  <c r="I5" i="150" s="1"/>
  <c r="K5" i="150" s="1"/>
  <c r="J6" i="168" s="1"/>
  <c r="E13" i="150"/>
  <c r="I13" i="150" s="1"/>
  <c r="E12" i="150"/>
  <c r="I12" i="150" s="1"/>
  <c r="K12" i="150" s="1"/>
  <c r="J13" i="168" s="1"/>
  <c r="E8" i="150"/>
  <c r="I8" i="150" s="1"/>
  <c r="K8" i="150" s="1"/>
  <c r="J9" i="168" s="1"/>
  <c r="E9" i="150"/>
  <c r="I9" i="150" s="1"/>
  <c r="K9" i="150" s="1"/>
  <c r="J10" i="168" s="1"/>
  <c r="E10" i="150"/>
  <c r="I10" i="150" s="1"/>
  <c r="K10" i="150" s="1"/>
  <c r="J11" i="168" s="1"/>
  <c r="E11" i="150"/>
  <c r="I11" i="150" s="1"/>
  <c r="K11" i="150" s="1"/>
  <c r="J12" i="168" s="1"/>
  <c r="L47" i="139"/>
  <c r="R48" i="149"/>
  <c r="R69" i="149"/>
  <c r="R50" i="149"/>
  <c r="R57" i="149"/>
  <c r="R84" i="149"/>
  <c r="R59" i="149"/>
  <c r="R55" i="149"/>
  <c r="R78" i="149"/>
  <c r="R53" i="149"/>
  <c r="R80" i="149"/>
  <c r="R63" i="149"/>
  <c r="R82" i="149"/>
  <c r="R71" i="149"/>
  <c r="R76" i="149"/>
  <c r="R51" i="149"/>
  <c r="R61" i="149"/>
  <c r="R18" i="149"/>
  <c r="R54" i="149"/>
  <c r="R64" i="149"/>
  <c r="R85" i="149"/>
  <c r="R75" i="149"/>
  <c r="R8" i="149"/>
  <c r="R33" i="149"/>
  <c r="R58" i="149"/>
  <c r="R81" i="149"/>
  <c r="R35" i="149"/>
  <c r="R83" i="149"/>
  <c r="R73" i="149"/>
  <c r="R15" i="149"/>
  <c r="R12" i="149"/>
  <c r="R39" i="149"/>
  <c r="R70" i="149"/>
  <c r="R36" i="149"/>
  <c r="R79" i="149"/>
  <c r="R7" i="149"/>
  <c r="R27" i="149"/>
  <c r="R62" i="149"/>
  <c r="R16" i="149"/>
  <c r="R72" i="149"/>
  <c r="R11" i="149"/>
  <c r="R14" i="149"/>
  <c r="R28" i="149"/>
  <c r="R34" i="149"/>
  <c r="R10" i="149"/>
  <c r="R52" i="149"/>
  <c r="R19" i="149"/>
  <c r="R43" i="149"/>
  <c r="R13" i="149"/>
  <c r="R22" i="149"/>
  <c r="R77" i="149"/>
  <c r="R30" i="149"/>
  <c r="R20" i="149"/>
  <c r="R21" i="149"/>
  <c r="R40" i="149"/>
  <c r="R9" i="149"/>
  <c r="R41" i="149"/>
  <c r="R31" i="149"/>
  <c r="R42" i="149"/>
  <c r="R17" i="149"/>
  <c r="R74" i="149"/>
  <c r="R37" i="149"/>
  <c r="R49" i="149"/>
  <c r="R32" i="149"/>
  <c r="R60" i="149"/>
  <c r="R29" i="149"/>
  <c r="R38" i="149"/>
  <c r="R56" i="149"/>
  <c r="BS30" i="138"/>
  <c r="BT30" i="138" s="1"/>
  <c r="BS26" i="138"/>
  <c r="BT26" i="138" s="1"/>
  <c r="BS24" i="138"/>
  <c r="BT24" i="138" s="1"/>
  <c r="BS22" i="138"/>
  <c r="BT22" i="138" s="1"/>
  <c r="BS17" i="138"/>
  <c r="BT17" i="138" s="1"/>
  <c r="BS14" i="138"/>
  <c r="BT14" i="138" s="1"/>
  <c r="BS11" i="138"/>
  <c r="BT11" i="138" s="1"/>
  <c r="BS8" i="138"/>
  <c r="BT8" i="138" s="1"/>
  <c r="BS5" i="138"/>
  <c r="BT5" i="138" s="1"/>
  <c r="Y33" i="145"/>
  <c r="E48" i="145"/>
  <c r="J48" i="145"/>
  <c r="D81" i="147"/>
  <c r="F81" i="147" s="1"/>
  <c r="D85" i="147"/>
  <c r="F85" i="147" s="1"/>
  <c r="D83" i="147"/>
  <c r="F83" i="147" s="1"/>
  <c r="K13" i="150" l="1"/>
  <c r="J14" i="168" s="1"/>
  <c r="J16" i="168"/>
  <c r="AN106" i="149"/>
  <c r="N4" i="148" s="1"/>
  <c r="D89" i="147"/>
  <c r="F89" i="147" s="1"/>
  <c r="AN114" i="149"/>
  <c r="N12" i="148" s="1"/>
  <c r="AN110" i="149"/>
  <c r="N8" i="148" s="1"/>
  <c r="AN113" i="149"/>
  <c r="N11" i="148" s="1"/>
  <c r="AN108" i="149"/>
  <c r="N6" i="148" s="1"/>
  <c r="AN109" i="149"/>
  <c r="N7" i="148" s="1"/>
  <c r="AN111" i="149"/>
  <c r="N9" i="148" s="1"/>
  <c r="AN119" i="149"/>
  <c r="N17" i="148" s="1"/>
  <c r="AN121" i="149"/>
  <c r="N19" i="148" s="1"/>
  <c r="AN116" i="149"/>
  <c r="N14" i="148" s="1"/>
  <c r="AN112" i="149"/>
  <c r="N10" i="148" s="1"/>
  <c r="AN118" i="149"/>
  <c r="N16" i="148" s="1"/>
  <c r="AN120" i="149"/>
  <c r="N18" i="148" s="1"/>
  <c r="AN117" i="149"/>
  <c r="N15" i="148" s="1"/>
  <c r="AN115" i="149"/>
  <c r="N13" i="148" s="1"/>
  <c r="AN107" i="149"/>
  <c r="N5" i="148" s="1"/>
  <c r="AN122" i="149"/>
  <c r="N20" i="148" s="1"/>
  <c r="J49" i="145"/>
  <c r="D94" i="147"/>
  <c r="F94" i="147" s="1"/>
  <c r="R49" i="145"/>
  <c r="P49" i="145"/>
  <c r="N49" i="145"/>
  <c r="L49" i="145"/>
  <c r="H49" i="145"/>
  <c r="F49" i="145"/>
  <c r="D95" i="147"/>
  <c r="F95" i="147" s="1"/>
  <c r="D87" i="147"/>
  <c r="F87" i="147" s="1"/>
  <c r="D96" i="147"/>
  <c r="F96" i="147" s="1"/>
  <c r="D93" i="147"/>
  <c r="F93" i="147" s="1"/>
  <c r="D84" i="147"/>
  <c r="F84" i="147" s="1"/>
  <c r="D88" i="147"/>
  <c r="F88" i="147" s="1"/>
  <c r="D82" i="147"/>
  <c r="F82" i="147" s="1"/>
  <c r="D86" i="147"/>
  <c r="F86" i="147" s="1"/>
  <c r="D90" i="147"/>
  <c r="F90" i="147" s="1"/>
  <c r="D92" i="147"/>
  <c r="F92" i="147" s="1"/>
  <c r="D80" i="147"/>
  <c r="F80" i="147" s="1"/>
  <c r="B11" i="90" l="1"/>
  <c r="B10" i="90"/>
  <c r="N22" i="148"/>
  <c r="N72" i="148" s="1"/>
  <c r="AN124" i="149"/>
  <c r="D79" i="147" l="1"/>
  <c r="F79" i="147" s="1"/>
  <c r="F98" i="147" s="1"/>
  <c r="V14" i="138" l="1"/>
  <c r="X14" i="138" s="1"/>
  <c r="Y14" i="138" s="1"/>
  <c r="V11" i="138"/>
  <c r="X11" i="138" s="1"/>
  <c r="Y11" i="138" s="1"/>
  <c r="V5" i="138"/>
  <c r="X5" i="138" s="1"/>
  <c r="Y5" i="138" s="1"/>
  <c r="D24" i="138"/>
  <c r="D22" i="138"/>
  <c r="D8" i="138"/>
  <c r="D5" i="138"/>
  <c r="D11" i="138"/>
  <c r="V8" i="138"/>
  <c r="X8" i="138" s="1"/>
  <c r="Y8" i="138" s="1"/>
  <c r="V17" i="138"/>
  <c r="X17" i="138" s="1"/>
  <c r="Y17" i="138" s="1"/>
  <c r="D17" i="138"/>
  <c r="D14" i="138"/>
  <c r="AB8" i="138"/>
  <c r="AD8" i="138" s="1"/>
  <c r="AE8" i="138" s="1"/>
  <c r="AB17" i="138"/>
  <c r="AD17" i="138" s="1"/>
  <c r="AE17" i="138" s="1"/>
  <c r="AB11" i="138"/>
  <c r="AD11" i="138" s="1"/>
  <c r="AE11" i="138" s="1"/>
  <c r="AB5" i="138"/>
  <c r="AD5" i="138" s="1"/>
  <c r="AE5" i="138" s="1"/>
  <c r="AB14" i="138"/>
  <c r="AD14" i="138" s="1"/>
  <c r="AE14" i="138" s="1"/>
  <c r="AY14" i="138" l="1"/>
  <c r="BA14" i="138" s="1"/>
  <c r="BB14" i="138" s="1"/>
  <c r="AY17" i="138"/>
  <c r="BA17" i="138" s="1"/>
  <c r="BB17" i="138" s="1"/>
  <c r="AY5" i="138"/>
  <c r="BA5" i="138" s="1"/>
  <c r="BB5" i="138" s="1"/>
  <c r="AY8" i="138"/>
  <c r="BA8" i="138" s="1"/>
  <c r="BB8" i="138" s="1"/>
  <c r="AO30" i="138"/>
  <c r="BE30" i="138" s="1"/>
  <c r="BN30" i="138" s="1"/>
  <c r="BL30" i="138" s="1"/>
  <c r="AO35" i="138"/>
  <c r="AY11" i="138"/>
  <c r="BA11" i="138" s="1"/>
  <c r="BB11" i="138" s="1"/>
  <c r="AY22" i="138"/>
  <c r="BA22" i="138" s="1"/>
  <c r="N11" i="138"/>
  <c r="F11" i="138"/>
  <c r="AL11" i="138" s="1"/>
  <c r="N8" i="138"/>
  <c r="F8" i="138"/>
  <c r="AL8" i="138" s="1"/>
  <c r="N22" i="138"/>
  <c r="F22" i="138"/>
  <c r="AL22" i="138" s="1"/>
  <c r="AO11" i="138"/>
  <c r="AO5" i="138"/>
  <c r="BE5" i="138" s="1"/>
  <c r="BN5" i="138" s="1"/>
  <c r="I38" i="176" s="1"/>
  <c r="I39" i="176" s="1"/>
  <c r="I40" i="176" s="1"/>
  <c r="AO8" i="138"/>
  <c r="AO26" i="138"/>
  <c r="BE26" i="138" s="1"/>
  <c r="BN26" i="138" s="1"/>
  <c r="BL26" i="138" s="1"/>
  <c r="AO22" i="138"/>
  <c r="BE22" i="138" s="1"/>
  <c r="BN22" i="138" s="1"/>
  <c r="K38" i="176" s="1"/>
  <c r="K39" i="176" s="1"/>
  <c r="K40" i="176" s="1"/>
  <c r="AO24" i="138"/>
  <c r="AD21" i="138"/>
  <c r="AO17" i="138"/>
  <c r="AO14" i="138"/>
  <c r="F14" i="138"/>
  <c r="AL14" i="138" s="1"/>
  <c r="N14" i="138"/>
  <c r="AL24" i="138"/>
  <c r="N24" i="138"/>
  <c r="F24" i="138"/>
  <c r="N17" i="138"/>
  <c r="F17" i="138"/>
  <c r="AL17" i="138" s="1"/>
  <c r="AH25" i="138"/>
  <c r="F5" i="138"/>
  <c r="AL5" i="138" s="1"/>
  <c r="N5" i="138"/>
  <c r="I38" i="155" l="1"/>
  <c r="I36" i="163"/>
  <c r="I37" i="163" s="1"/>
  <c r="I38" i="163" s="1"/>
  <c r="K38" i="155"/>
  <c r="K36" i="163"/>
  <c r="K37" i="163" s="1"/>
  <c r="K38" i="163" s="1"/>
  <c r="BL22" i="138"/>
  <c r="BL5" i="138"/>
  <c r="BM5" i="138"/>
  <c r="BP30" i="138"/>
  <c r="BM30" i="138"/>
  <c r="BP26" i="138"/>
  <c r="BM26" i="138"/>
  <c r="AV14" i="138"/>
  <c r="AQ14" i="138"/>
  <c r="AR14" i="138" s="1"/>
  <c r="AS14" i="138" s="1"/>
  <c r="AU14" i="138"/>
  <c r="AT14" i="138"/>
  <c r="BE14" i="138"/>
  <c r="AV11" i="138"/>
  <c r="BE11" i="138"/>
  <c r="AT11" i="138"/>
  <c r="AU11" i="138"/>
  <c r="AQ11" i="138"/>
  <c r="AR11" i="138" s="1"/>
  <c r="AS11" i="138" s="1"/>
  <c r="AU24" i="138"/>
  <c r="BE24" i="138"/>
  <c r="AV24" i="138"/>
  <c r="AQ24" i="138"/>
  <c r="AV22" i="138"/>
  <c r="AU22" i="138"/>
  <c r="AQ22" i="138"/>
  <c r="AU5" i="138"/>
  <c r="AV5" i="138"/>
  <c r="AT5" i="138"/>
  <c r="AQ5" i="138"/>
  <c r="AR5" i="138" s="1"/>
  <c r="AS5" i="138" s="1"/>
  <c r="AV17" i="138"/>
  <c r="AU17" i="138"/>
  <c r="AT17" i="138"/>
  <c r="AQ17" i="138"/>
  <c r="AR17" i="138" s="1"/>
  <c r="AS17" i="138" s="1"/>
  <c r="BE17" i="138"/>
  <c r="AO32" i="138" s="1"/>
  <c r="AO34" i="138" s="1"/>
  <c r="AL25" i="138"/>
  <c r="AK25" i="138"/>
  <c r="AV8" i="138"/>
  <c r="AU8" i="138"/>
  <c r="AQ8" i="138"/>
  <c r="AR8" i="138" s="1"/>
  <c r="AS8" i="138" s="1"/>
  <c r="BE8" i="138"/>
  <c r="AT8" i="138"/>
  <c r="I7" i="150" l="1"/>
  <c r="K7" i="150" s="1"/>
  <c r="AO36" i="138"/>
  <c r="BS28" i="138" s="1"/>
  <c r="BN11" i="138"/>
  <c r="F38" i="176" s="1"/>
  <c r="F39" i="176" s="1"/>
  <c r="F40" i="176" s="1"/>
  <c r="L40" i="176" s="1"/>
  <c r="M40" i="176" s="1"/>
  <c r="BN24" i="138"/>
  <c r="BL24" i="138" s="1"/>
  <c r="BN14" i="138"/>
  <c r="J38" i="176" s="1"/>
  <c r="J39" i="176" s="1"/>
  <c r="J40" i="176" s="1"/>
  <c r="BN8" i="138"/>
  <c r="G38" i="176" s="1"/>
  <c r="G39" i="176" s="1"/>
  <c r="G40" i="176" s="1"/>
  <c r="BP5" i="138"/>
  <c r="G38" i="155" l="1"/>
  <c r="G36" i="163"/>
  <c r="G37" i="163" s="1"/>
  <c r="G38" i="163" s="1"/>
  <c r="J38" i="155"/>
  <c r="J36" i="163"/>
  <c r="J37" i="163" s="1"/>
  <c r="J38" i="163" s="1"/>
  <c r="F38" i="155"/>
  <c r="F36" i="163"/>
  <c r="F37" i="163" s="1"/>
  <c r="F38" i="163" s="1"/>
  <c r="L38" i="163" s="1"/>
  <c r="M38" i="163" s="1"/>
  <c r="BL8" i="138"/>
  <c r="BL11" i="138"/>
  <c r="BL14" i="138"/>
  <c r="BP14" i="138"/>
  <c r="BM14" i="138"/>
  <c r="BP22" i="138"/>
  <c r="BM22" i="138"/>
  <c r="BP24" i="138"/>
  <c r="BM24" i="138"/>
  <c r="BP8" i="138"/>
  <c r="BM8" i="138"/>
  <c r="BP11" i="138"/>
  <c r="BM11" i="138"/>
  <c r="BG28" i="138"/>
  <c r="BK28" i="138" s="1"/>
  <c r="L48" i="149" s="1"/>
  <c r="BT28" i="138"/>
  <c r="AO28" i="138"/>
  <c r="L43" i="149" l="1"/>
  <c r="L13" i="149"/>
  <c r="L38" i="149"/>
  <c r="L16" i="149"/>
  <c r="L8" i="149"/>
  <c r="L64" i="149"/>
  <c r="L35" i="149"/>
  <c r="L59" i="149"/>
  <c r="L28" i="149"/>
  <c r="L39" i="149"/>
  <c r="L18" i="149"/>
  <c r="L50" i="149"/>
  <c r="L42" i="149"/>
  <c r="L69" i="149"/>
  <c r="L21" i="149"/>
  <c r="L31" i="149"/>
  <c r="L73" i="149"/>
  <c r="L74" i="149"/>
  <c r="L60" i="149"/>
  <c r="L51" i="149"/>
  <c r="L77" i="149"/>
  <c r="L32" i="149"/>
  <c r="L61" i="149"/>
  <c r="L49" i="149"/>
  <c r="L70" i="149"/>
  <c r="L15" i="149"/>
  <c r="L34" i="149"/>
  <c r="L41" i="149"/>
  <c r="L53" i="149"/>
  <c r="L58" i="149"/>
  <c r="L79" i="149"/>
  <c r="L20" i="149"/>
  <c r="L78" i="149"/>
  <c r="L6" i="149"/>
  <c r="L30" i="149"/>
  <c r="L80" i="149"/>
  <c r="L22" i="149"/>
  <c r="L10" i="149"/>
  <c r="L12" i="149"/>
  <c r="L7" i="149"/>
  <c r="L76" i="149"/>
  <c r="L27" i="149"/>
  <c r="L36" i="149"/>
  <c r="L83" i="149"/>
  <c r="L63" i="149"/>
  <c r="L54" i="149"/>
  <c r="L85" i="149"/>
  <c r="L56" i="149"/>
  <c r="L52" i="149"/>
  <c r="L82" i="149"/>
  <c r="L81" i="149"/>
  <c r="L72" i="149"/>
  <c r="L55" i="149"/>
  <c r="L29" i="149"/>
  <c r="L11" i="149"/>
  <c r="L17" i="149"/>
  <c r="L37" i="149"/>
  <c r="L33" i="149"/>
  <c r="L14" i="149"/>
  <c r="L62" i="149"/>
  <c r="L40" i="149"/>
  <c r="L84" i="149"/>
  <c r="L57" i="149"/>
  <c r="L71" i="149"/>
  <c r="L9" i="149"/>
  <c r="L19" i="149"/>
  <c r="L75" i="149"/>
  <c r="BE28" i="138"/>
  <c r="BN28" i="138" s="1"/>
  <c r="H38" i="176" s="1"/>
  <c r="H39" i="176" s="1"/>
  <c r="H40" i="176" s="1"/>
  <c r="H38" i="155" l="1"/>
  <c r="H36" i="163"/>
  <c r="H37" i="163" s="1"/>
  <c r="H38" i="163" s="1"/>
  <c r="BL28" i="138"/>
  <c r="G112" i="149"/>
  <c r="N33" i="149"/>
  <c r="H112" i="149"/>
  <c r="N75" i="149"/>
  <c r="N62" i="149"/>
  <c r="E120" i="149"/>
  <c r="H109" i="149"/>
  <c r="N72" i="149"/>
  <c r="N83" i="149"/>
  <c r="H120" i="149"/>
  <c r="D122" i="149"/>
  <c r="N22" i="149"/>
  <c r="E111" i="149"/>
  <c r="N53" i="149"/>
  <c r="G111" i="149"/>
  <c r="N32" i="149"/>
  <c r="H106" i="149"/>
  <c r="N69" i="149"/>
  <c r="N59" i="149"/>
  <c r="E117" i="149"/>
  <c r="N9" i="149"/>
  <c r="D109" i="149"/>
  <c r="D119" i="149"/>
  <c r="N19" i="149"/>
  <c r="N14" i="149"/>
  <c r="D114" i="149"/>
  <c r="N81" i="149"/>
  <c r="H118" i="149"/>
  <c r="N36" i="149"/>
  <c r="G115" i="149"/>
  <c r="H117" i="149"/>
  <c r="N80" i="149"/>
  <c r="N41" i="149"/>
  <c r="G120" i="149"/>
  <c r="I120" i="149" s="1"/>
  <c r="N77" i="149"/>
  <c r="H114" i="149"/>
  <c r="G121" i="149"/>
  <c r="N42" i="149"/>
  <c r="N35" i="149"/>
  <c r="G114" i="149"/>
  <c r="H119" i="149"/>
  <c r="N82" i="149"/>
  <c r="G109" i="149"/>
  <c r="N30" i="149"/>
  <c r="G113" i="149"/>
  <c r="N34" i="149"/>
  <c r="E122" i="149"/>
  <c r="N64" i="149"/>
  <c r="N37" i="149"/>
  <c r="G116" i="149"/>
  <c r="D106" i="149"/>
  <c r="N6" i="149"/>
  <c r="N8" i="149"/>
  <c r="D108" i="149"/>
  <c r="E115" i="149"/>
  <c r="N57" i="149"/>
  <c r="D117" i="149"/>
  <c r="N17" i="149"/>
  <c r="E114" i="149"/>
  <c r="N56" i="149"/>
  <c r="D107" i="149"/>
  <c r="N7" i="149"/>
  <c r="H115" i="149"/>
  <c r="N78" i="149"/>
  <c r="H107" i="149"/>
  <c r="N70" i="149"/>
  <c r="H111" i="149"/>
  <c r="N74" i="149"/>
  <c r="N18" i="149"/>
  <c r="D118" i="149"/>
  <c r="N16" i="149"/>
  <c r="D116" i="149"/>
  <c r="N52" i="149"/>
  <c r="E110" i="149"/>
  <c r="D115" i="149"/>
  <c r="N15" i="149"/>
  <c r="N50" i="149"/>
  <c r="E108" i="149"/>
  <c r="D111" i="149"/>
  <c r="N11" i="149"/>
  <c r="N85" i="149"/>
  <c r="H122" i="149"/>
  <c r="D112" i="149"/>
  <c r="N12" i="149"/>
  <c r="N20" i="149"/>
  <c r="D120" i="149"/>
  <c r="N49" i="149"/>
  <c r="E107" i="149"/>
  <c r="H110" i="149"/>
  <c r="N73" i="149"/>
  <c r="G118" i="149"/>
  <c r="N39" i="149"/>
  <c r="N38" i="149"/>
  <c r="G117" i="149"/>
  <c r="G106" i="149"/>
  <c r="N27" i="149"/>
  <c r="N71" i="149"/>
  <c r="H108" i="149"/>
  <c r="N76" i="149"/>
  <c r="H113" i="149"/>
  <c r="E118" i="149"/>
  <c r="N60" i="149"/>
  <c r="N84" i="149"/>
  <c r="H121" i="149"/>
  <c r="G108" i="149"/>
  <c r="N29" i="149"/>
  <c r="N54" i="149"/>
  <c r="E112" i="149"/>
  <c r="E106" i="149"/>
  <c r="N48" i="149"/>
  <c r="N79" i="149"/>
  <c r="H116" i="149"/>
  <c r="E119" i="149"/>
  <c r="N61" i="149"/>
  <c r="G110" i="149"/>
  <c r="N31" i="149"/>
  <c r="N28" i="149"/>
  <c r="G107" i="149"/>
  <c r="D113" i="149"/>
  <c r="N13" i="149"/>
  <c r="N51" i="149"/>
  <c r="E109" i="149"/>
  <c r="G119" i="149"/>
  <c r="N40" i="149"/>
  <c r="N55" i="149"/>
  <c r="E113" i="149"/>
  <c r="E121" i="149"/>
  <c r="N63" i="149"/>
  <c r="D110" i="149"/>
  <c r="N10" i="149"/>
  <c r="N58" i="149"/>
  <c r="E116" i="149"/>
  <c r="D121" i="149"/>
  <c r="N21" i="149"/>
  <c r="G122" i="149"/>
  <c r="N43" i="149"/>
  <c r="BM28" i="138"/>
  <c r="BP28" i="138"/>
  <c r="I114" i="149" l="1"/>
  <c r="I119" i="149"/>
  <c r="I107" i="149"/>
  <c r="I121" i="149"/>
  <c r="F121" i="149"/>
  <c r="F110" i="149"/>
  <c r="F113" i="149"/>
  <c r="F107" i="149"/>
  <c r="F118" i="149"/>
  <c r="F112" i="149"/>
  <c r="I113" i="149"/>
  <c r="I118" i="149"/>
  <c r="I109" i="149"/>
  <c r="I115" i="149"/>
  <c r="I108" i="149"/>
  <c r="F108" i="149"/>
  <c r="F109" i="149"/>
  <c r="F111" i="149"/>
  <c r="I111" i="149"/>
  <c r="F116" i="149"/>
  <c r="F119" i="149"/>
  <c r="E124" i="149"/>
  <c r="I106" i="149"/>
  <c r="G124" i="149"/>
  <c r="F115" i="149"/>
  <c r="D124" i="149"/>
  <c r="F106" i="149"/>
  <c r="F122" i="149"/>
  <c r="I117" i="149"/>
  <c r="F120" i="149"/>
  <c r="J120" i="149" s="1"/>
  <c r="H18" i="148" s="1"/>
  <c r="I116" i="149"/>
  <c r="F114" i="149"/>
  <c r="I122" i="149"/>
  <c r="I110" i="149"/>
  <c r="F117" i="149"/>
  <c r="H124" i="149"/>
  <c r="I112" i="149"/>
  <c r="BM33" i="138"/>
  <c r="BM38" i="138"/>
  <c r="G6" i="151"/>
  <c r="H35" i="151" s="1"/>
  <c r="E18" i="148" l="1"/>
  <c r="C18" i="148"/>
  <c r="D18" i="148"/>
  <c r="P18" i="148"/>
  <c r="R107" i="149"/>
  <c r="T107" i="149" s="1"/>
  <c r="C5" i="151"/>
  <c r="R121" i="149"/>
  <c r="T121" i="149" s="1"/>
  <c r="J112" i="149"/>
  <c r="H10" i="148" s="1"/>
  <c r="J107" i="149"/>
  <c r="H5" i="148" s="1"/>
  <c r="C5" i="148" s="1"/>
  <c r="J121" i="149"/>
  <c r="H19" i="148" s="1"/>
  <c r="J113" i="149"/>
  <c r="H11" i="148" s="1"/>
  <c r="J118" i="149"/>
  <c r="H16" i="148" s="1"/>
  <c r="R110" i="149"/>
  <c r="T110" i="149" s="1"/>
  <c r="R118" i="149"/>
  <c r="T118" i="149" s="1"/>
  <c r="J109" i="149"/>
  <c r="H7" i="148" s="1"/>
  <c r="R113" i="149"/>
  <c r="T113" i="149" s="1"/>
  <c r="R111" i="149"/>
  <c r="T111" i="149" s="1"/>
  <c r="J111" i="149"/>
  <c r="H9" i="148" s="1"/>
  <c r="R109" i="149"/>
  <c r="T109" i="149" s="1"/>
  <c r="R108" i="149"/>
  <c r="T108" i="149" s="1"/>
  <c r="J108" i="149"/>
  <c r="H6" i="148" s="1"/>
  <c r="R112" i="149"/>
  <c r="T112" i="149" s="1"/>
  <c r="R122" i="149"/>
  <c r="T122" i="149" s="1"/>
  <c r="J117" i="149"/>
  <c r="H15" i="148" s="1"/>
  <c r="R120" i="149"/>
  <c r="T120" i="149" s="1"/>
  <c r="J122" i="149"/>
  <c r="H20" i="148" s="1"/>
  <c r="J106" i="149"/>
  <c r="H4" i="148" s="1"/>
  <c r="R106" i="149"/>
  <c r="T106" i="149" s="1"/>
  <c r="F124" i="149"/>
  <c r="R119" i="149"/>
  <c r="T119" i="149" s="1"/>
  <c r="J119" i="149"/>
  <c r="H17" i="148" s="1"/>
  <c r="J114" i="149"/>
  <c r="H12" i="148" s="1"/>
  <c r="R114" i="149"/>
  <c r="T114" i="149" s="1"/>
  <c r="J115" i="149"/>
  <c r="H13" i="148" s="1"/>
  <c r="R115" i="149"/>
  <c r="T115" i="149" s="1"/>
  <c r="J110" i="149"/>
  <c r="H8" i="148" s="1"/>
  <c r="R117" i="149"/>
  <c r="T117" i="149" s="1"/>
  <c r="I124" i="149"/>
  <c r="J116" i="149"/>
  <c r="H14" i="148" s="1"/>
  <c r="R116" i="149"/>
  <c r="T116" i="149" s="1"/>
  <c r="G30" i="90"/>
  <c r="X43" i="154"/>
  <c r="Y43" i="154" s="1"/>
  <c r="X45" i="154"/>
  <c r="Y45" i="154" s="1"/>
  <c r="X37" i="154"/>
  <c r="Y37" i="154" s="1"/>
  <c r="X32" i="154"/>
  <c r="Y32" i="154" s="1"/>
  <c r="X42" i="154"/>
  <c r="Y42" i="154" s="1"/>
  <c r="X31" i="154"/>
  <c r="Y31" i="154" s="1"/>
  <c r="X35" i="154"/>
  <c r="X44" i="154"/>
  <c r="Y44" i="154" s="1"/>
  <c r="X34" i="154"/>
  <c r="Y34" i="154" s="1"/>
  <c r="X47" i="154"/>
  <c r="Y47" i="154" s="1"/>
  <c r="X40" i="154"/>
  <c r="Y40" i="154" s="1"/>
  <c r="X41" i="154"/>
  <c r="Y41" i="154" s="1"/>
  <c r="X36" i="154"/>
  <c r="Y36" i="154" s="1"/>
  <c r="X39" i="154"/>
  <c r="Y39" i="154" s="1"/>
  <c r="X33" i="154"/>
  <c r="Y33" i="154" s="1"/>
  <c r="K18" i="148" l="1"/>
  <c r="L18" i="148" s="1"/>
  <c r="C4" i="148"/>
  <c r="E4" i="148"/>
  <c r="P4" i="148"/>
  <c r="H22" i="148"/>
  <c r="D4" i="148"/>
  <c r="E13" i="148"/>
  <c r="C13" i="148"/>
  <c r="D13" i="148"/>
  <c r="P13" i="148"/>
  <c r="C20" i="148"/>
  <c r="P20" i="148"/>
  <c r="D20" i="148"/>
  <c r="E20" i="148"/>
  <c r="C16" i="148"/>
  <c r="P16" i="148"/>
  <c r="D16" i="148"/>
  <c r="E16" i="148"/>
  <c r="C11" i="148"/>
  <c r="E11" i="148"/>
  <c r="D11" i="148"/>
  <c r="P11" i="148"/>
  <c r="C12" i="148"/>
  <c r="D12" i="148"/>
  <c r="P12" i="148"/>
  <c r="E12" i="148"/>
  <c r="E15" i="148"/>
  <c r="D15" i="148"/>
  <c r="C15" i="148"/>
  <c r="P15" i="148"/>
  <c r="E9" i="148"/>
  <c r="D9" i="148"/>
  <c r="C9" i="148"/>
  <c r="P9" i="148"/>
  <c r="D19" i="148"/>
  <c r="P19" i="148"/>
  <c r="E19" i="148"/>
  <c r="C19" i="148"/>
  <c r="C14" i="148"/>
  <c r="D14" i="148"/>
  <c r="E14" i="148"/>
  <c r="P14" i="148"/>
  <c r="C17" i="148"/>
  <c r="P17" i="148"/>
  <c r="E17" i="148"/>
  <c r="D17" i="148"/>
  <c r="E5" i="148"/>
  <c r="D5" i="148"/>
  <c r="P5" i="148"/>
  <c r="D10" i="148"/>
  <c r="C10" i="148"/>
  <c r="P10" i="148"/>
  <c r="E10" i="148"/>
  <c r="L61" i="148"/>
  <c r="N61" i="148" s="1"/>
  <c r="R18" i="148"/>
  <c r="AB118" i="171" s="1"/>
  <c r="P6" i="148"/>
  <c r="D6" i="148"/>
  <c r="C6" i="148"/>
  <c r="E6" i="148"/>
  <c r="C7" i="148"/>
  <c r="P7" i="148"/>
  <c r="E7" i="148"/>
  <c r="D7" i="148"/>
  <c r="C8" i="148"/>
  <c r="P8" i="148"/>
  <c r="D8" i="148"/>
  <c r="E8" i="148"/>
  <c r="G5" i="151"/>
  <c r="H34" i="151" s="1"/>
  <c r="L5" i="151"/>
  <c r="J50" i="154"/>
  <c r="X46" i="154"/>
  <c r="Y46" i="154" s="1"/>
  <c r="X38" i="154"/>
  <c r="Y38" i="154" s="1"/>
  <c r="Y35" i="154"/>
  <c r="T124" i="149"/>
  <c r="R124" i="149"/>
  <c r="J124" i="149"/>
  <c r="X12" i="145"/>
  <c r="Y12" i="145" s="1"/>
  <c r="X20" i="145"/>
  <c r="Y20" i="145" s="1"/>
  <c r="X7" i="145"/>
  <c r="Y7" i="145" s="1"/>
  <c r="X15" i="145"/>
  <c r="Y15" i="145" s="1"/>
  <c r="X5" i="145"/>
  <c r="Y5" i="145" s="1"/>
  <c r="X17" i="145"/>
  <c r="Y17" i="145" s="1"/>
  <c r="X13" i="145"/>
  <c r="Y13" i="145" s="1"/>
  <c r="X8" i="145"/>
  <c r="Y8" i="145" s="1"/>
  <c r="X6" i="145"/>
  <c r="Y6" i="145" s="1"/>
  <c r="X10" i="145"/>
  <c r="Y10" i="145" s="1"/>
  <c r="X14" i="145"/>
  <c r="Y14" i="145" s="1"/>
  <c r="X18" i="145"/>
  <c r="Y18" i="145" s="1"/>
  <c r="X16" i="145"/>
  <c r="Y16" i="145" s="1"/>
  <c r="X11" i="145"/>
  <c r="Y11" i="145" s="1"/>
  <c r="X21" i="145"/>
  <c r="Y21" i="145" s="1"/>
  <c r="X9" i="145"/>
  <c r="X19" i="145"/>
  <c r="Y19" i="145" s="1"/>
  <c r="K7" i="148" l="1"/>
  <c r="L7" i="148" s="1"/>
  <c r="R7" i="148" s="1"/>
  <c r="AB107" i="171" s="1"/>
  <c r="K19" i="148"/>
  <c r="L19" i="148" s="1"/>
  <c r="K16" i="148"/>
  <c r="L16" i="148" s="1"/>
  <c r="R16" i="148" s="1"/>
  <c r="AB116" i="171" s="1"/>
  <c r="K12" i="148"/>
  <c r="L12" i="148" s="1"/>
  <c r="R12" i="148" s="1"/>
  <c r="AB112" i="171" s="1"/>
  <c r="K11" i="148"/>
  <c r="L11" i="148" s="1"/>
  <c r="L54" i="148" s="1"/>
  <c r="N54" i="148" s="1"/>
  <c r="K8" i="148"/>
  <c r="L8" i="148" s="1"/>
  <c r="L51" i="148" s="1"/>
  <c r="N51" i="148" s="1"/>
  <c r="K13" i="148"/>
  <c r="L13" i="148" s="1"/>
  <c r="R13" i="148" s="1"/>
  <c r="AB113" i="171" s="1"/>
  <c r="K5" i="148"/>
  <c r="L5" i="148" s="1"/>
  <c r="L48" i="148" s="1"/>
  <c r="N48" i="148" s="1"/>
  <c r="L50" i="148"/>
  <c r="N50" i="148" s="1"/>
  <c r="T18" i="148"/>
  <c r="Z18" i="148"/>
  <c r="AA18" i="148" s="1"/>
  <c r="AB18" i="148" s="1"/>
  <c r="U18" i="148"/>
  <c r="Y18" i="148" s="1"/>
  <c r="D56" i="173" s="1"/>
  <c r="F56" i="173" s="1"/>
  <c r="K14" i="148"/>
  <c r="L14" i="148" s="1"/>
  <c r="K9" i="148"/>
  <c r="L9" i="148" s="1"/>
  <c r="K17" i="148"/>
  <c r="L17" i="148" s="1"/>
  <c r="D22" i="148"/>
  <c r="K4" i="148"/>
  <c r="R19" i="148"/>
  <c r="AB119" i="171" s="1"/>
  <c r="L62" i="148"/>
  <c r="N62" i="148" s="1"/>
  <c r="K20" i="148"/>
  <c r="L20" i="148" s="1"/>
  <c r="H24" i="148"/>
  <c r="H72" i="148"/>
  <c r="K15" i="148"/>
  <c r="L15" i="148" s="1"/>
  <c r="K10" i="148"/>
  <c r="L10" i="148" s="1"/>
  <c r="E22" i="148"/>
  <c r="K6" i="148"/>
  <c r="L6" i="148" s="1"/>
  <c r="E50" i="154"/>
  <c r="Y9" i="145"/>
  <c r="J24" i="145"/>
  <c r="E24" i="145" s="1"/>
  <c r="L59" i="148" l="1"/>
  <c r="N59" i="148" s="1"/>
  <c r="L55" i="148"/>
  <c r="N55" i="148" s="1"/>
  <c r="R8" i="148"/>
  <c r="AB108" i="171" s="1"/>
  <c r="L56" i="148"/>
  <c r="N56" i="148" s="1"/>
  <c r="R11" i="148"/>
  <c r="AB111" i="171" s="1"/>
  <c r="R5" i="148"/>
  <c r="AB105" i="171" s="1"/>
  <c r="AD118" i="171"/>
  <c r="F19" i="173"/>
  <c r="AF118" i="171"/>
  <c r="AC118" i="171"/>
  <c r="AG118" i="171"/>
  <c r="L57" i="148"/>
  <c r="N57" i="148" s="1"/>
  <c r="R14" i="148"/>
  <c r="AB114" i="171" s="1"/>
  <c r="L49" i="148"/>
  <c r="N49" i="148" s="1"/>
  <c r="R6" i="148"/>
  <c r="AB106" i="171" s="1"/>
  <c r="D24" i="148"/>
  <c r="D48" i="148" s="1"/>
  <c r="D72" i="148"/>
  <c r="L60" i="148"/>
  <c r="N60" i="148" s="1"/>
  <c r="R17" i="148"/>
  <c r="AB117" i="171" s="1"/>
  <c r="L63" i="148"/>
  <c r="N63" i="148" s="1"/>
  <c r="R20" i="148"/>
  <c r="AB120" i="171" s="1"/>
  <c r="T13" i="148"/>
  <c r="U13" i="148"/>
  <c r="Y13" i="148" s="1"/>
  <c r="D51" i="173" s="1"/>
  <c r="F51" i="173" s="1"/>
  <c r="Z13" i="148"/>
  <c r="AA13" i="148" s="1"/>
  <c r="AB13" i="148" s="1"/>
  <c r="E72" i="148"/>
  <c r="E24" i="148"/>
  <c r="T7" i="148"/>
  <c r="U7" i="148"/>
  <c r="Y7" i="148" s="1"/>
  <c r="D45" i="173" s="1"/>
  <c r="F45" i="173" s="1"/>
  <c r="Z7" i="148"/>
  <c r="AA7" i="148" s="1"/>
  <c r="AB7" i="148" s="1"/>
  <c r="L4" i="148"/>
  <c r="K22" i="148"/>
  <c r="L53" i="148"/>
  <c r="N53" i="148" s="1"/>
  <c r="R10" i="148"/>
  <c r="AB110" i="171" s="1"/>
  <c r="Z12" i="148"/>
  <c r="AA12" i="148" s="1"/>
  <c r="AB12" i="148" s="1"/>
  <c r="T12" i="148"/>
  <c r="U12" i="148"/>
  <c r="Y12" i="148" s="1"/>
  <c r="D50" i="173" s="1"/>
  <c r="F50" i="173" s="1"/>
  <c r="U8" i="148"/>
  <c r="Y8" i="148" s="1"/>
  <c r="D46" i="173" s="1"/>
  <c r="F46" i="173" s="1"/>
  <c r="T8" i="148"/>
  <c r="Z8" i="148"/>
  <c r="AA8" i="148" s="1"/>
  <c r="AB8" i="148" s="1"/>
  <c r="Z16" i="148"/>
  <c r="AA16" i="148" s="1"/>
  <c r="AB16" i="148" s="1"/>
  <c r="T16" i="148"/>
  <c r="U16" i="148"/>
  <c r="Y16" i="148" s="1"/>
  <c r="D54" i="173" s="1"/>
  <c r="F54" i="173" s="1"/>
  <c r="L58" i="148"/>
  <c r="N58" i="148" s="1"/>
  <c r="R15" i="148"/>
  <c r="AB115" i="171" s="1"/>
  <c r="Z19" i="148"/>
  <c r="AA19" i="148" s="1"/>
  <c r="AB19" i="148" s="1"/>
  <c r="U19" i="148"/>
  <c r="Y19" i="148" s="1"/>
  <c r="D57" i="173" s="1"/>
  <c r="F57" i="173" s="1"/>
  <c r="T19" i="148"/>
  <c r="L52" i="148"/>
  <c r="N52" i="148" s="1"/>
  <c r="R9" i="148"/>
  <c r="AB109" i="171" s="1"/>
  <c r="J51" i="154"/>
  <c r="F51" i="154"/>
  <c r="H51" i="154"/>
  <c r="N51" i="154"/>
  <c r="P51" i="154"/>
  <c r="L51" i="154"/>
  <c r="R51" i="154"/>
  <c r="C25" i="151"/>
  <c r="J25" i="145"/>
  <c r="J26" i="145" s="1"/>
  <c r="Z11" i="148" l="1"/>
  <c r="AA11" i="148" s="1"/>
  <c r="AB11" i="148" s="1"/>
  <c r="T11" i="148"/>
  <c r="T5" i="148"/>
  <c r="U5" i="148"/>
  <c r="Y5" i="148" s="1"/>
  <c r="D43" i="173" s="1"/>
  <c r="F43" i="173" s="1"/>
  <c r="Z5" i="148"/>
  <c r="AA5" i="148" s="1"/>
  <c r="AB5" i="148" s="1"/>
  <c r="U11" i="148"/>
  <c r="Y11" i="148" s="1"/>
  <c r="D49" i="173" s="1"/>
  <c r="F49" i="173" s="1"/>
  <c r="AE118" i="171"/>
  <c r="F20" i="173"/>
  <c r="AG119" i="171"/>
  <c r="AD119" i="171"/>
  <c r="AF119" i="171"/>
  <c r="AC119" i="171"/>
  <c r="AG107" i="171"/>
  <c r="AD107" i="171"/>
  <c r="AF107" i="171"/>
  <c r="F8" i="173"/>
  <c r="AC107" i="171"/>
  <c r="AD108" i="171"/>
  <c r="AG108" i="171"/>
  <c r="AF108" i="171"/>
  <c r="F9" i="173"/>
  <c r="AC108" i="171"/>
  <c r="AG112" i="171"/>
  <c r="F13" i="173"/>
  <c r="AC112" i="171"/>
  <c r="AD112" i="171"/>
  <c r="AF112" i="171"/>
  <c r="F17" i="173"/>
  <c r="AG116" i="171"/>
  <c r="AD116" i="171"/>
  <c r="AF116" i="171"/>
  <c r="AC116" i="171"/>
  <c r="AH118" i="171"/>
  <c r="F14" i="173"/>
  <c r="AD113" i="171"/>
  <c r="AF113" i="171"/>
  <c r="AG113" i="171"/>
  <c r="AC113" i="171"/>
  <c r="U17" i="148"/>
  <c r="Y17" i="148" s="1"/>
  <c r="D55" i="173" s="1"/>
  <c r="F55" i="173" s="1"/>
  <c r="Z17" i="148"/>
  <c r="AA17" i="148" s="1"/>
  <c r="AB17" i="148" s="1"/>
  <c r="T17" i="148"/>
  <c r="U9" i="148"/>
  <c r="Y9" i="148" s="1"/>
  <c r="D47" i="173" s="1"/>
  <c r="F47" i="173" s="1"/>
  <c r="T9" i="148"/>
  <c r="Z9" i="148"/>
  <c r="AA9" i="148" s="1"/>
  <c r="AB9" i="148" s="1"/>
  <c r="L22" i="148"/>
  <c r="L72" i="148" s="1"/>
  <c r="R4" i="148"/>
  <c r="W5" i="175" s="1"/>
  <c r="L47" i="148"/>
  <c r="T6" i="148"/>
  <c r="U6" i="148"/>
  <c r="Y6" i="148" s="1"/>
  <c r="D44" i="173" s="1"/>
  <c r="F44" i="173" s="1"/>
  <c r="Z6" i="148"/>
  <c r="AA6" i="148" s="1"/>
  <c r="AB6" i="148" s="1"/>
  <c r="K72" i="148"/>
  <c r="Q74" i="148" s="1"/>
  <c r="K24" i="148"/>
  <c r="T10" i="148"/>
  <c r="Z10" i="148"/>
  <c r="AA10" i="148" s="1"/>
  <c r="AB10" i="148" s="1"/>
  <c r="U10" i="148"/>
  <c r="Y10" i="148" s="1"/>
  <c r="D48" i="173" s="1"/>
  <c r="F48" i="173" s="1"/>
  <c r="U20" i="148"/>
  <c r="Y20" i="148" s="1"/>
  <c r="D58" i="173" s="1"/>
  <c r="F58" i="173" s="1"/>
  <c r="Z20" i="148"/>
  <c r="AA20" i="148" s="1"/>
  <c r="AB20" i="148" s="1"/>
  <c r="T20" i="148"/>
  <c r="U14" i="148"/>
  <c r="Y14" i="148" s="1"/>
  <c r="D52" i="173" s="1"/>
  <c r="F52" i="173" s="1"/>
  <c r="Z14" i="148"/>
  <c r="AA14" i="148" s="1"/>
  <c r="AB14" i="148" s="1"/>
  <c r="T14" i="148"/>
  <c r="Z15" i="148"/>
  <c r="AA15" i="148" s="1"/>
  <c r="AB15" i="148" s="1"/>
  <c r="U15" i="148"/>
  <c r="Y15" i="148" s="1"/>
  <c r="D53" i="173" s="1"/>
  <c r="F53" i="173" s="1"/>
  <c r="T15" i="148"/>
  <c r="L25" i="151"/>
  <c r="G25" i="151"/>
  <c r="L25" i="145"/>
  <c r="L26" i="145" s="1"/>
  <c r="F25" i="145"/>
  <c r="F26" i="145" s="1"/>
  <c r="P25" i="145"/>
  <c r="P26" i="145" s="1"/>
  <c r="H25" i="145"/>
  <c r="H26" i="145" s="1"/>
  <c r="N25" i="145"/>
  <c r="N26" i="145" s="1"/>
  <c r="R25" i="145"/>
  <c r="R26" i="145" s="1"/>
  <c r="F6" i="173" l="1"/>
  <c r="AF105" i="171"/>
  <c r="AF111" i="171"/>
  <c r="AC111" i="171"/>
  <c r="AG111" i="171"/>
  <c r="AD111" i="171"/>
  <c r="F12" i="173"/>
  <c r="AK118" i="171"/>
  <c r="AD105" i="171"/>
  <c r="AG105" i="171"/>
  <c r="AC105" i="171"/>
  <c r="AH108" i="171"/>
  <c r="AI118" i="171"/>
  <c r="AE116" i="171"/>
  <c r="AE107" i="171"/>
  <c r="AH119" i="171"/>
  <c r="AH107" i="171"/>
  <c r="AC109" i="171"/>
  <c r="AD109" i="171"/>
  <c r="AG109" i="171"/>
  <c r="AF109" i="171"/>
  <c r="F10" i="173"/>
  <c r="AH116" i="171"/>
  <c r="AE112" i="171"/>
  <c r="AD115" i="171"/>
  <c r="AF115" i="171"/>
  <c r="AC115" i="171"/>
  <c r="AG115" i="171"/>
  <c r="F16" i="173"/>
  <c r="AG120" i="171"/>
  <c r="F21" i="173"/>
  <c r="AD120" i="171"/>
  <c r="AF120" i="171"/>
  <c r="AC120" i="171"/>
  <c r="AD110" i="171"/>
  <c r="AC110" i="171"/>
  <c r="AF110" i="171"/>
  <c r="F11" i="173"/>
  <c r="AG110" i="171"/>
  <c r="AD117" i="171"/>
  <c r="AF117" i="171"/>
  <c r="AC117" i="171"/>
  <c r="F18" i="173"/>
  <c r="AG117" i="171"/>
  <c r="AE108" i="171"/>
  <c r="AC106" i="171"/>
  <c r="F7" i="173"/>
  <c r="AG106" i="171"/>
  <c r="AD106" i="171"/>
  <c r="AF106" i="171"/>
  <c r="AB122" i="171"/>
  <c r="Y122" i="171"/>
  <c r="AE113" i="171"/>
  <c r="AE119" i="171"/>
  <c r="AD114" i="171"/>
  <c r="AF114" i="171"/>
  <c r="AC114" i="171"/>
  <c r="AG114" i="171"/>
  <c r="F15" i="173"/>
  <c r="AH113" i="171"/>
  <c r="AH112" i="171"/>
  <c r="U4" i="148"/>
  <c r="R22" i="148"/>
  <c r="C4" i="161" s="1"/>
  <c r="Z4" i="148"/>
  <c r="Z5" i="175" s="1"/>
  <c r="T4" i="148"/>
  <c r="N47" i="148"/>
  <c r="L65" i="148"/>
  <c r="Y4" i="148" l="1"/>
  <c r="D42" i="173" s="1"/>
  <c r="AA5" i="175"/>
  <c r="AH105" i="171"/>
  <c r="AH111" i="171"/>
  <c r="AE111" i="171"/>
  <c r="AE105" i="171"/>
  <c r="AI107" i="171"/>
  <c r="AK107" i="171"/>
  <c r="AE120" i="171"/>
  <c r="AE115" i="171"/>
  <c r="AI116" i="171"/>
  <c r="AH109" i="171"/>
  <c r="AE109" i="171"/>
  <c r="AH106" i="171"/>
  <c r="G28" i="58" s="1"/>
  <c r="AE110" i="171"/>
  <c r="G4" i="161"/>
  <c r="AH115" i="171"/>
  <c r="AH117" i="171"/>
  <c r="AI119" i="171"/>
  <c r="AK119" i="171"/>
  <c r="AE106" i="171"/>
  <c r="G24" i="58" s="1"/>
  <c r="AE117" i="171"/>
  <c r="AC104" i="171"/>
  <c r="AG104" i="171"/>
  <c r="AG122" i="171" s="1"/>
  <c r="AD104" i="171"/>
  <c r="AD122" i="171" s="1"/>
  <c r="AF104" i="171"/>
  <c r="F5" i="173"/>
  <c r="F23" i="173" s="1"/>
  <c r="E7" i="161" s="1"/>
  <c r="AI113" i="171"/>
  <c r="AK113" i="171"/>
  <c r="AE114" i="171"/>
  <c r="AI108" i="171"/>
  <c r="AK108" i="171"/>
  <c r="AH120" i="171"/>
  <c r="AH114" i="171"/>
  <c r="AH110" i="171"/>
  <c r="AI112" i="171"/>
  <c r="AK112" i="171"/>
  <c r="AK116" i="171"/>
  <c r="Z22" i="148"/>
  <c r="AA4" i="148"/>
  <c r="R72" i="148"/>
  <c r="R29" i="148"/>
  <c r="R33" i="148" s="1"/>
  <c r="R35" i="148" s="1"/>
  <c r="F42" i="173" l="1"/>
  <c r="F60" i="173" s="1"/>
  <c r="D60" i="173"/>
  <c r="AK105" i="171"/>
  <c r="AI111" i="171"/>
  <c r="AI105" i="171"/>
  <c r="AK111" i="171"/>
  <c r="AI120" i="171"/>
  <c r="AK109" i="171"/>
  <c r="AI109" i="171"/>
  <c r="AI115" i="171"/>
  <c r="AI110" i="171"/>
  <c r="AK117" i="171"/>
  <c r="AI117" i="171"/>
  <c r="E8" i="161"/>
  <c r="AI106" i="171"/>
  <c r="G30" i="58" s="1"/>
  <c r="AK106" i="171"/>
  <c r="G32" i="58" s="1"/>
  <c r="G38" i="58" s="1"/>
  <c r="AK120" i="171"/>
  <c r="AF122" i="171"/>
  <c r="AH104" i="171"/>
  <c r="AH122" i="171" s="1"/>
  <c r="AK115" i="171"/>
  <c r="AE104" i="171"/>
  <c r="AK104" i="171" s="1"/>
  <c r="AC122" i="171"/>
  <c r="AK110" i="171"/>
  <c r="AI114" i="171"/>
  <c r="AK114" i="171"/>
  <c r="AA22" i="148"/>
  <c r="AB4" i="148"/>
  <c r="E17" i="161" l="1"/>
  <c r="E23" i="161" s="1"/>
  <c r="I8" i="161"/>
  <c r="E27" i="161"/>
  <c r="AE122" i="171"/>
  <c r="AK122" i="171"/>
  <c r="AI104" i="171"/>
  <c r="AI122" i="171" s="1"/>
  <c r="F11" i="58" l="1"/>
  <c r="F12" i="58"/>
  <c r="F7" i="58"/>
  <c r="F8" i="58"/>
  <c r="Q57" i="141" l="1"/>
  <c r="Q59" i="141" s="1"/>
  <c r="Q60" i="141" s="1"/>
  <c r="Q62" i="141" s="1"/>
  <c r="Q64" i="141"/>
  <c r="Q66" i="141" s="1"/>
  <c r="Q68" i="141" s="1"/>
  <c r="Q48" i="141"/>
  <c r="Q50" i="141" s="1"/>
  <c r="Q51" i="141" s="1"/>
  <c r="Q55" i="141" s="1"/>
  <c r="D49" i="58"/>
  <c r="G51" i="58" s="1"/>
  <c r="F13" i="58"/>
  <c r="F9" i="58"/>
  <c r="Y120" i="149" l="1"/>
  <c r="D19" i="147" l="1"/>
  <c r="F19" i="147" s="1"/>
  <c r="P41" i="149"/>
  <c r="P83" i="149"/>
  <c r="P62" i="149"/>
  <c r="P20" i="149"/>
  <c r="K33" i="155" l="1"/>
  <c r="H33" i="155"/>
  <c r="I33" i="155"/>
  <c r="J33" i="155"/>
  <c r="K35" i="155" l="1"/>
  <c r="K36" i="155"/>
  <c r="I35" i="155"/>
  <c r="I36" i="155"/>
  <c r="H36" i="155"/>
  <c r="H35" i="155"/>
  <c r="J35" i="155"/>
  <c r="J36" i="155"/>
  <c r="F33" i="155"/>
  <c r="K37" i="155"/>
  <c r="K39" i="155" s="1"/>
  <c r="K40" i="155" s="1"/>
  <c r="H37" i="155"/>
  <c r="H39" i="155" s="1"/>
  <c r="J37" i="155"/>
  <c r="J39" i="155" s="1"/>
  <c r="I37" i="155"/>
  <c r="I39" i="155" s="1"/>
  <c r="J40" i="155" l="1"/>
  <c r="H40" i="155"/>
  <c r="I40" i="155"/>
  <c r="F36" i="155"/>
  <c r="F35" i="155"/>
  <c r="G33" i="155"/>
  <c r="G37" i="155"/>
  <c r="G39" i="155" s="1"/>
  <c r="G40" i="155" s="1"/>
  <c r="F37" i="155"/>
  <c r="F39" i="155" s="1"/>
  <c r="F40" i="155" s="1"/>
  <c r="L40" i="155" s="1"/>
  <c r="G35" i="155" l="1"/>
  <c r="G36" i="155"/>
  <c r="O33" i="155"/>
  <c r="M40" i="155" s="1"/>
  <c r="E33" i="155"/>
  <c r="Y107" i="149" l="1"/>
  <c r="Y108" i="149" l="1"/>
  <c r="P49" i="149"/>
  <c r="P28" i="149" l="1"/>
  <c r="P7" i="149"/>
  <c r="P71" i="149"/>
  <c r="D6" i="147"/>
  <c r="F6" i="147" s="1"/>
  <c r="P70" i="149"/>
  <c r="P8" i="149" l="1"/>
  <c r="P29" i="149"/>
  <c r="D7" i="147"/>
  <c r="F7" i="147" s="1"/>
  <c r="P50" i="149"/>
  <c r="Y109" i="149"/>
  <c r="P72" i="149" l="1"/>
  <c r="Y110" i="149"/>
  <c r="P9" i="149" l="1"/>
  <c r="P30" i="149"/>
  <c r="D8" i="147"/>
  <c r="F8" i="147" s="1"/>
  <c r="P51" i="149"/>
  <c r="Y111" i="149"/>
  <c r="P10" i="149" l="1"/>
  <c r="P53" i="149"/>
  <c r="D10" i="147"/>
  <c r="F10" i="147" s="1"/>
  <c r="P32" i="149"/>
  <c r="P74" i="149"/>
  <c r="P11" i="149"/>
  <c r="P31" i="149" l="1"/>
  <c r="D9" i="147"/>
  <c r="F9" i="147" s="1"/>
  <c r="P52" i="149"/>
  <c r="P73" i="149"/>
  <c r="Y112" i="149"/>
  <c r="Y106" i="149" l="1"/>
  <c r="P54" i="149"/>
  <c r="P33" i="149" l="1"/>
  <c r="D5" i="147"/>
  <c r="F5" i="147" s="1"/>
  <c r="P6" i="149"/>
  <c r="P69" i="149"/>
  <c r="P48" i="149"/>
  <c r="P27" i="149"/>
  <c r="D11" i="147"/>
  <c r="F11" i="147" s="1"/>
  <c r="Y116" i="149"/>
  <c r="P75" i="149"/>
  <c r="P12" i="149"/>
  <c r="O12" i="119" l="1"/>
  <c r="P58" i="149"/>
  <c r="Y118" i="149" l="1"/>
  <c r="Y114" i="149"/>
  <c r="P79" i="149"/>
  <c r="P37" i="149"/>
  <c r="D15" i="147"/>
  <c r="F15" i="147" s="1"/>
  <c r="P16" i="149"/>
  <c r="P56" i="149" l="1"/>
  <c r="Y119" i="149"/>
  <c r="P40" i="149"/>
  <c r="Y113" i="149"/>
  <c r="P81" i="149"/>
  <c r="P14" i="149" l="1"/>
  <c r="P77" i="149"/>
  <c r="D13" i="147"/>
  <c r="F13" i="147" s="1"/>
  <c r="P35" i="149"/>
  <c r="P82" i="149"/>
  <c r="D17" i="147"/>
  <c r="F17" i="147" s="1"/>
  <c r="P61" i="149"/>
  <c r="P39" i="149"/>
  <c r="P19" i="149"/>
  <c r="D18" i="147"/>
  <c r="F18" i="147" s="1"/>
  <c r="P76" i="149"/>
  <c r="P13" i="149"/>
  <c r="P55" i="149"/>
  <c r="D12" i="147"/>
  <c r="F12" i="147" s="1"/>
  <c r="P34" i="149"/>
  <c r="P60" i="149"/>
  <c r="P18" i="149"/>
  <c r="Y115" i="149"/>
  <c r="P17" i="149" l="1"/>
  <c r="Y117" i="149"/>
  <c r="P38" i="149"/>
  <c r="P59" i="149"/>
  <c r="D16" i="147"/>
  <c r="F16" i="147" s="1"/>
  <c r="P57" i="149"/>
  <c r="P78" i="149"/>
  <c r="D14" i="147"/>
  <c r="F14" i="147" s="1"/>
  <c r="P15" i="149"/>
  <c r="P36" i="149"/>
  <c r="P80" i="149" l="1"/>
  <c r="P63" i="149"/>
  <c r="Y121" i="149" l="1"/>
  <c r="G19" i="90"/>
  <c r="G32" i="90" s="1"/>
  <c r="P21" i="149"/>
  <c r="P84" i="149"/>
  <c r="P42" i="149"/>
  <c r="D20" i="147"/>
  <c r="F20" i="147" s="1"/>
  <c r="Q24" i="148" l="1"/>
  <c r="Y122" i="149" l="1"/>
  <c r="D21" i="147" l="1"/>
  <c r="F21" i="147" s="1"/>
  <c r="F23" i="147" s="1"/>
  <c r="P43" i="149"/>
  <c r="E7" i="151" l="1"/>
  <c r="C7" i="161"/>
  <c r="P22" i="149"/>
  <c r="P64" i="149"/>
  <c r="P85" i="149"/>
  <c r="E4" i="151"/>
  <c r="C8" i="161" l="1"/>
  <c r="C17" i="161" s="1"/>
  <c r="C23" i="161" s="1"/>
  <c r="G7" i="161"/>
  <c r="G8" i="161" s="1"/>
  <c r="G37" i="161" s="1"/>
  <c r="AB110" i="149"/>
  <c r="G17" i="161" l="1"/>
  <c r="G33" i="161" s="1"/>
  <c r="C27" i="161"/>
  <c r="G27" i="161" s="1"/>
  <c r="AB120" i="149"/>
  <c r="AB108" i="149"/>
  <c r="AB107" i="149"/>
  <c r="AB117" i="149"/>
  <c r="AB121" i="149"/>
  <c r="AB111" i="149"/>
  <c r="AB118" i="149"/>
  <c r="AB119" i="149"/>
  <c r="AB109" i="149"/>
  <c r="AB122" i="149"/>
  <c r="G23" i="161" l="1"/>
  <c r="H37" i="161" s="1"/>
  <c r="D47" i="147"/>
  <c r="F47" i="147" s="1"/>
  <c r="D45" i="147"/>
  <c r="F45" i="147" s="1"/>
  <c r="D46" i="147"/>
  <c r="F46" i="147" s="1"/>
  <c r="D54" i="147"/>
  <c r="F54" i="147" s="1"/>
  <c r="AD118" i="149"/>
  <c r="AF118" i="149"/>
  <c r="AC118" i="149"/>
  <c r="AG118" i="149"/>
  <c r="AB112" i="149"/>
  <c r="AB106" i="149"/>
  <c r="AC106" i="149"/>
  <c r="AG106" i="149"/>
  <c r="AD106" i="149"/>
  <c r="AF106" i="149"/>
  <c r="AG109" i="149"/>
  <c r="AF109" i="149"/>
  <c r="AC109" i="149"/>
  <c r="AD109" i="149"/>
  <c r="AB115" i="149"/>
  <c r="AB114" i="149"/>
  <c r="D57" i="147"/>
  <c r="F57" i="147" s="1"/>
  <c r="AC121" i="149"/>
  <c r="AG121" i="149"/>
  <c r="AD121" i="149"/>
  <c r="AF121" i="149"/>
  <c r="AB116" i="149"/>
  <c r="D56" i="147"/>
  <c r="F56" i="147" s="1"/>
  <c r="AC120" i="149"/>
  <c r="AG120" i="149"/>
  <c r="AD120" i="149"/>
  <c r="AF120" i="149"/>
  <c r="AG111" i="149"/>
  <c r="AF111" i="149"/>
  <c r="AD111" i="149"/>
  <c r="AC111" i="149"/>
  <c r="D43" i="147"/>
  <c r="F43" i="147" s="1"/>
  <c r="AC107" i="149"/>
  <c r="AD107" i="149"/>
  <c r="AG107" i="149"/>
  <c r="AF107" i="149"/>
  <c r="D55" i="147"/>
  <c r="F55" i="147" s="1"/>
  <c r="AF119" i="149"/>
  <c r="AD119" i="149"/>
  <c r="AC119" i="149"/>
  <c r="AG119" i="149"/>
  <c r="AB113" i="149"/>
  <c r="D44" i="147"/>
  <c r="F44" i="147" s="1"/>
  <c r="AD108" i="149"/>
  <c r="AG108" i="149"/>
  <c r="AF108" i="149"/>
  <c r="AC108" i="149"/>
  <c r="D53" i="147"/>
  <c r="F53" i="147" s="1"/>
  <c r="AG117" i="149"/>
  <c r="AD117" i="149"/>
  <c r="AF117" i="149"/>
  <c r="AC117" i="149"/>
  <c r="R25" i="148" l="1"/>
  <c r="R26" i="148" s="1"/>
  <c r="AE108" i="149"/>
  <c r="AE111" i="149"/>
  <c r="AB124" i="149"/>
  <c r="AH118" i="149"/>
  <c r="AH109" i="149"/>
  <c r="AH111" i="149"/>
  <c r="AE109" i="149"/>
  <c r="AE107" i="149"/>
  <c r="AE117" i="149"/>
  <c r="AE121" i="149"/>
  <c r="AH121" i="149"/>
  <c r="C4" i="151"/>
  <c r="L4" i="151" s="1"/>
  <c r="AF112" i="149"/>
  <c r="AD112" i="149"/>
  <c r="AC112" i="149"/>
  <c r="AG112" i="149"/>
  <c r="D50" i="147"/>
  <c r="F50" i="147" s="1"/>
  <c r="AC114" i="149"/>
  <c r="AG114" i="149"/>
  <c r="AF114" i="149"/>
  <c r="AD114" i="149"/>
  <c r="AH108" i="149"/>
  <c r="AE119" i="149"/>
  <c r="AH120" i="149"/>
  <c r="AE106" i="149"/>
  <c r="AG122" i="149"/>
  <c r="AC122" i="149"/>
  <c r="AD122" i="149"/>
  <c r="AF122" i="149"/>
  <c r="AH119" i="149"/>
  <c r="Y124" i="149"/>
  <c r="AC110" i="149"/>
  <c r="D51" i="147"/>
  <c r="F51" i="147" s="1"/>
  <c r="AF115" i="149"/>
  <c r="AG115" i="149"/>
  <c r="AC115" i="149"/>
  <c r="AD115" i="149"/>
  <c r="AH117" i="149"/>
  <c r="AE120" i="149"/>
  <c r="AF110" i="149"/>
  <c r="D49" i="147"/>
  <c r="F49" i="147" s="1"/>
  <c r="AD113" i="149"/>
  <c r="AC113" i="149"/>
  <c r="AG113" i="149"/>
  <c r="AF113" i="149"/>
  <c r="AD110" i="149"/>
  <c r="AH106" i="149"/>
  <c r="AG110" i="149"/>
  <c r="D52" i="147"/>
  <c r="F52" i="147" s="1"/>
  <c r="AG116" i="149"/>
  <c r="AD116" i="149"/>
  <c r="AF116" i="149"/>
  <c r="AC116" i="149"/>
  <c r="AH107" i="149"/>
  <c r="AE118" i="149"/>
  <c r="D42" i="147"/>
  <c r="F42" i="147" s="1"/>
  <c r="D58" i="147"/>
  <c r="F58" i="147" s="1"/>
  <c r="F23" i="58"/>
  <c r="D48" i="147" l="1"/>
  <c r="F48" i="147" s="1"/>
  <c r="AI117" i="149"/>
  <c r="AI108" i="149"/>
  <c r="AK111" i="149"/>
  <c r="AK121" i="149"/>
  <c r="AI121" i="149"/>
  <c r="AI109" i="149"/>
  <c r="AI111" i="149"/>
  <c r="AI107" i="149"/>
  <c r="AK109" i="149"/>
  <c r="AD124" i="149"/>
  <c r="AH114" i="149"/>
  <c r="AG124" i="149"/>
  <c r="AH112" i="149"/>
  <c r="AE122" i="149"/>
  <c r="AE116" i="149"/>
  <c r="AF124" i="149"/>
  <c r="AE110" i="149"/>
  <c r="AI118" i="149"/>
  <c r="AK118" i="149"/>
  <c r="AE113" i="149"/>
  <c r="AI119" i="149"/>
  <c r="AK119" i="149"/>
  <c r="AE112" i="149"/>
  <c r="AE115" i="149"/>
  <c r="AK107" i="149"/>
  <c r="AH116" i="149"/>
  <c r="AH110" i="149"/>
  <c r="AH115" i="149"/>
  <c r="AK117" i="149"/>
  <c r="AI120" i="149"/>
  <c r="AK120" i="149"/>
  <c r="AC124" i="149"/>
  <c r="AE114" i="149"/>
  <c r="AK108" i="149"/>
  <c r="AH113" i="149"/>
  <c r="AH122" i="149"/>
  <c r="AI106" i="149"/>
  <c r="AK106" i="149"/>
  <c r="F60" i="147"/>
  <c r="F26" i="58"/>
  <c r="F22" i="58"/>
  <c r="F24" i="58" s="1"/>
  <c r="AK122" i="149" l="1"/>
  <c r="AI112" i="149"/>
  <c r="AI110" i="149"/>
  <c r="AK114" i="149"/>
  <c r="AK112" i="149"/>
  <c r="AK116" i="149"/>
  <c r="AI122" i="149"/>
  <c r="AI116" i="149"/>
  <c r="AI115" i="149"/>
  <c r="AK115" i="149"/>
  <c r="AI113" i="149"/>
  <c r="AK113" i="149"/>
  <c r="AH124" i="149"/>
  <c r="AE124" i="149"/>
  <c r="G4" i="151"/>
  <c r="AI114" i="149"/>
  <c r="C7" i="151"/>
  <c r="AK110" i="149"/>
  <c r="F28" i="58"/>
  <c r="H33" i="151" l="1"/>
  <c r="I35" i="151" s="1"/>
  <c r="C8" i="151"/>
  <c r="L7" i="151"/>
  <c r="G7" i="151"/>
  <c r="AI124" i="149"/>
  <c r="E8" i="151"/>
  <c r="E17" i="151" s="1"/>
  <c r="E23" i="151" s="1"/>
  <c r="AK124" i="149"/>
  <c r="G8" i="151" l="1"/>
  <c r="H36" i="151"/>
  <c r="C17" i="151"/>
  <c r="L8" i="151"/>
  <c r="E26" i="151"/>
  <c r="G17" i="151" l="1"/>
  <c r="H37" i="151"/>
  <c r="C23" i="151"/>
  <c r="L17" i="151"/>
  <c r="C26" i="151" l="1"/>
  <c r="L23" i="151"/>
  <c r="G23" i="151"/>
  <c r="L26" i="151" l="1"/>
  <c r="G26" i="151"/>
  <c r="N25" i="154" l="1"/>
  <c r="N26" i="154" s="1"/>
  <c r="L25" i="154"/>
  <c r="L26" i="154" s="1"/>
  <c r="R25" i="154"/>
  <c r="R26" i="154" s="1"/>
  <c r="H25" i="154"/>
  <c r="H26" i="154" s="1"/>
  <c r="P25" i="154"/>
  <c r="P26" i="154" s="1"/>
  <c r="J25" i="154"/>
  <c r="J26" i="154" s="1"/>
  <c r="F26" i="154"/>
  <c r="C17" i="156" l="1"/>
  <c r="C15" i="156"/>
  <c r="C13" i="156"/>
  <c r="C11" i="156"/>
  <c r="C7" i="156"/>
  <c r="C9" i="156"/>
  <c r="C19" i="156"/>
  <c r="E15" i="156" l="1"/>
  <c r="F15" i="156" s="1"/>
  <c r="E11" i="156"/>
  <c r="F11" i="156" s="1"/>
  <c r="E7" i="156" l="1"/>
  <c r="F7" i="156" s="1"/>
  <c r="E19" i="156"/>
  <c r="F19" i="156" s="1"/>
  <c r="E17" i="156"/>
  <c r="F17" i="156" s="1"/>
  <c r="E9" i="156"/>
  <c r="F9" i="156" s="1"/>
  <c r="E13" i="156"/>
  <c r="F13" i="156" s="1"/>
  <c r="F23" i="156" l="1"/>
  <c r="F21" i="1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tc={4B984CED-B401-4BEF-BA38-9980CD5445AB}</author>
    <author>tc={263BDAAF-70B3-492E-91C7-391071FED383}</author>
  </authors>
  <commentList>
    <comment ref="C2" authorId="0" shapeId="0" xr:uid="{4B984CED-B401-4BEF-BA38-9980CD5445AB}">
      <text>
        <t>[Threaded comment]
Your version of Excel allows you to read this threaded comment; however, any edits to it will get removed if the file is opened in a newer version of Excel. Learn more: https://go.microsoft.com/fwlink/?linkid=870924
Comment:
    Requirement revised following Tulip Merger</t>
      </text>
    </comment>
    <comment ref="J2" authorId="1" shapeId="0" xr:uid="{263BDAAF-70B3-492E-91C7-391071FED383}">
      <text>
        <t xml:space="preserve">[Threaded comment]
Your version of Excel allows you to read this threaded comment; however, any edits to it will get removed if the file is opened in a newer version of Excel. Learn more: https://go.microsoft.com/fwlink/?linkid=870924
Comment:
    Requirement calculating Garth and Priory separately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5" authorId="0" shapeId="0" xr:uid="{6263B733-FE21-428B-9459-BE8F052A71FC}">
      <text>
        <r>
          <rPr>
            <b/>
            <sz val="9"/>
            <color indexed="81"/>
            <rFont val="Tahoma"/>
            <family val="2"/>
          </rPr>
          <t>David Leonard:</t>
        </r>
        <r>
          <rPr>
            <sz val="9"/>
            <color indexed="81"/>
            <rFont val="Tahoma"/>
            <family val="2"/>
          </rPr>
          <t xml:space="preserve">
Increased from 6:1</t>
        </r>
      </text>
    </comment>
    <comment ref="C8" authorId="0" shapeId="0" xr:uid="{C4A70499-1A60-416B-933C-E1916459009D}">
      <text>
        <r>
          <rPr>
            <b/>
            <sz val="9"/>
            <color indexed="81"/>
            <rFont val="Tahoma"/>
            <family val="2"/>
          </rPr>
          <t>David Leonard:</t>
        </r>
        <r>
          <rPr>
            <sz val="9"/>
            <color indexed="81"/>
            <rFont val="Tahoma"/>
            <family val="2"/>
          </rPr>
          <t xml:space="preserve">
Reduced from 2.5:1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Mark Popplewell</author>
  </authors>
  <commentList>
    <comment ref="F64" authorId="0" shapeId="0" xr:uid="{7A8BD432-93B1-4C96-8403-ECAB96BC65D5}">
      <text>
        <r>
          <rPr>
            <b/>
            <sz val="9"/>
            <color indexed="81"/>
            <rFont val="Tahoma"/>
            <family val="2"/>
          </rPr>
          <t>Mark Popplewell:</t>
        </r>
        <r>
          <rPr>
            <sz val="9"/>
            <color indexed="81"/>
            <rFont val="Tahoma"/>
            <family val="2"/>
          </rPr>
          <t xml:space="preserve">
RPA insurance £21 per place @ 80 places =£1,680, plus licences of £320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6" authorId="0" shapeId="0" xr:uid="{8DD39D8E-D168-4207-B446-59ADFC84417D}">
      <text>
        <r>
          <rPr>
            <b/>
            <sz val="9"/>
            <color indexed="81"/>
            <rFont val="Tahoma"/>
            <family val="2"/>
          </rPr>
          <t>David Leonard:</t>
        </r>
        <r>
          <rPr>
            <sz val="9"/>
            <color indexed="81"/>
            <rFont val="Tahoma"/>
            <family val="2"/>
          </rPr>
          <t xml:space="preserve">
Increased from 6:1</t>
        </r>
      </text>
    </comment>
    <comment ref="C9" authorId="0" shapeId="0" xr:uid="{1689ACF7-6794-4DE1-B79B-7B6D2719A0E8}">
      <text>
        <r>
          <rPr>
            <b/>
            <sz val="9"/>
            <color indexed="81"/>
            <rFont val="Tahoma"/>
            <family val="2"/>
          </rPr>
          <t>David Leonard:</t>
        </r>
        <r>
          <rPr>
            <sz val="9"/>
            <color indexed="81"/>
            <rFont val="Tahoma"/>
            <family val="2"/>
          </rPr>
          <t xml:space="preserve">
Reduced from 2.5:1</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tc={7E0975DF-0275-4A7F-8235-8DAFADCCCD8D}</author>
  </authors>
  <commentList>
    <comment ref="W11" authorId="0" shapeId="0" xr:uid="{7E0975DF-0275-4A7F-8235-8DAFADCCCD8D}">
      <text>
        <t>[Threaded comment]
Your version of Excel allows you to read this threaded comment; however, any edits to it will get removed if the file is opened in a newer version of Excel. Learn more: https://go.microsoft.com/fwlink/?linkid=870924
Comment:
    Altered from 0.1505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tc={B1B62A1F-DE56-42DE-9019-E5CA7CE509BC}</author>
  </authors>
  <commentList>
    <comment ref="C15" authorId="0" shapeId="0" xr:uid="{B1B62A1F-DE56-42DE-9019-E5CA7CE509BC}">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tc={C0FB4C9A-ACBD-4BE2-BAB2-739EAFBE607A}</author>
    <author>tc={BCE8B829-AF73-4805-B06F-0E7938ACA287}</author>
  </authors>
  <commentList>
    <comment ref="C15" authorId="0" shapeId="0" xr:uid="{C0FB4C9A-ACBD-4BE2-BAB2-739EAFBE607A}">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C38" authorId="1" shapeId="0" xr:uid="{BCE8B829-AF73-4805-B06F-0E7938ACA287}">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tc={D0CD679D-113E-49C9-B7DC-35246881E18A}</author>
    <author>tc={84105E1C-4F97-4A1C-B832-94893F95739D}</author>
    <author>tc={B4B9BE31-596C-4412-A9AF-AC0C385A3B12}</author>
    <author>tc={C8BEF2F1-7B44-4E2A-8962-4AFD9D5F3EDE}</author>
    <author>tc={9EBC5550-0762-473E-8CC7-5607F16FF091}</author>
  </authors>
  <commentList>
    <comment ref="G13" authorId="0" shapeId="0" xr:uid="{D0CD679D-113E-49C9-B7DC-35246881E18A}">
      <text>
        <t>[Threaded comment]
Your version of Excel allows you to read this threaded comment; however, any edits to it will get removed if the file is opened in a newer version of Excel. Learn more: https://go.microsoft.com/fwlink/?linkid=870924
Comment:
    Previously £352,404</t>
      </text>
    </comment>
    <comment ref="C15" authorId="1" shapeId="0" xr:uid="{84105E1C-4F97-4A1C-B832-94893F95739D}">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G15" authorId="2" shapeId="0" xr:uid="{B4B9BE31-596C-4412-A9AF-AC0C385A3B12}">
      <text>
        <t>[Threaded comment]
Your version of Excel allows you to read this threaded comment; however, any edits to it will get removed if the file is opened in a newer version of Excel. Learn more: https://go.microsoft.com/fwlink/?linkid=870924
Comment:
    Previously £179,941</t>
      </text>
    </comment>
    <comment ref="G19" authorId="3" shapeId="0" xr:uid="{C8BEF2F1-7B44-4E2A-8962-4AFD9D5F3EDE}">
      <text>
        <t>[Threaded comment]
Your version of Excel allows you to read this threaded comment; however, any edits to it will get removed if the file is opened in a newer version of Excel. Learn more: https://go.microsoft.com/fwlink/?linkid=870924
Comment:
    Previously £551,998</t>
      </text>
    </comment>
    <comment ref="C38" authorId="4" shapeId="0" xr:uid="{9EBC5550-0762-473E-8CC7-5607F16FF091}">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Angela Lawton</author>
    <author>tc={12631C88-8098-4B7E-A5A8-016B52FD3CCD}</author>
  </authors>
  <commentList>
    <comment ref="E2" authorId="0" shapeId="0" xr:uid="{09CAF985-F155-46FC-87C3-3F74AE9F005D}">
      <text>
        <r>
          <rPr>
            <b/>
            <sz val="9"/>
            <color indexed="81"/>
            <rFont val="Tahoma"/>
            <family val="2"/>
          </rPr>
          <t>Angela Lawton:</t>
        </r>
        <r>
          <rPr>
            <sz val="9"/>
            <color indexed="81"/>
            <rFont val="Tahoma"/>
            <family val="2"/>
          </rPr>
          <t xml:space="preserve">
2022-23 academic Year info</t>
        </r>
      </text>
    </comment>
    <comment ref="F2" authorId="0" shapeId="0" xr:uid="{28A603C3-6972-4BEF-B72A-492D57BCF9BA}">
      <text>
        <r>
          <rPr>
            <b/>
            <sz val="9"/>
            <color indexed="81"/>
            <rFont val="Tahoma"/>
            <family val="2"/>
          </rPr>
          <t>Angela Lawton:</t>
        </r>
        <r>
          <rPr>
            <sz val="9"/>
            <color indexed="81"/>
            <rFont val="Tahoma"/>
            <family val="2"/>
          </rPr>
          <t xml:space="preserve">
22-23 Financial year info</t>
        </r>
      </text>
    </comment>
    <comment ref="F12" authorId="1" shapeId="0" xr:uid="{12631C88-8098-4B7E-A5A8-016B52FD3CCD}">
      <text>
        <t>[Threaded comment]
Your version of Excel allows you to read this threaded comment; however, any edits to it will get removed if the file is opened in a newer version of Excel. Learn more: https://go.microsoft.com/fwlink/?linkid=870924
Comment:
    Should this be £811,482?</t>
      </text>
    </comment>
    <comment ref="E29" authorId="0" shapeId="0" xr:uid="{FA6A081D-6B97-4627-A2C7-62B12807FCBE}">
      <text>
        <r>
          <rPr>
            <b/>
            <sz val="9"/>
            <color indexed="81"/>
            <rFont val="Tahoma"/>
            <family val="2"/>
          </rPr>
          <t>Angela Lawton:</t>
        </r>
        <r>
          <rPr>
            <sz val="9"/>
            <color indexed="81"/>
            <rFont val="Tahoma"/>
            <family val="2"/>
          </rPr>
          <t xml:space="preserve">
2022-23 academic Year info</t>
        </r>
      </text>
    </comment>
    <comment ref="F29" authorId="0" shapeId="0" xr:uid="{7BBA9750-5DAE-4C09-81D9-82DE41B06326}">
      <text>
        <r>
          <rPr>
            <b/>
            <sz val="9"/>
            <color indexed="81"/>
            <rFont val="Tahoma"/>
            <family val="2"/>
          </rPr>
          <t>Angela Lawton:</t>
        </r>
        <r>
          <rPr>
            <sz val="9"/>
            <color indexed="81"/>
            <rFont val="Tahoma"/>
            <family val="2"/>
          </rPr>
          <t xml:space="preserve">
22-23 Financial year info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Angela Lawton</author>
    <author>tc={B9924BA0-45C7-4FAA-8ED9-519D06981E1C}</author>
  </authors>
  <commentList>
    <comment ref="E2" authorId="0" shapeId="0" xr:uid="{28412FE0-7C6B-4CB7-8BEB-786CAC82F325}">
      <text>
        <r>
          <rPr>
            <b/>
            <sz val="9"/>
            <color indexed="81"/>
            <rFont val="Tahoma"/>
            <family val="2"/>
          </rPr>
          <t>Angela Lawton:</t>
        </r>
        <r>
          <rPr>
            <sz val="9"/>
            <color indexed="81"/>
            <rFont val="Tahoma"/>
            <family val="2"/>
          </rPr>
          <t xml:space="preserve">
2022-23 academic Year info</t>
        </r>
      </text>
    </comment>
    <comment ref="F2" authorId="0" shapeId="0" xr:uid="{C32F8188-847F-43B9-8EA5-2B5900CF48C4}">
      <text>
        <r>
          <rPr>
            <b/>
            <sz val="9"/>
            <color indexed="81"/>
            <rFont val="Tahoma"/>
            <family val="2"/>
          </rPr>
          <t>Angela Lawton:</t>
        </r>
        <r>
          <rPr>
            <sz val="9"/>
            <color indexed="81"/>
            <rFont val="Tahoma"/>
            <family val="2"/>
          </rPr>
          <t xml:space="preserve">
22-23 Financial year info</t>
        </r>
      </text>
    </comment>
    <comment ref="F12" authorId="1" shapeId="0" xr:uid="{B9924BA0-45C7-4FAA-8ED9-519D06981E1C}">
      <text>
        <t>[Threaded comment]
Your version of Excel allows you to read this threaded comment; however, any edits to it will get removed if the file is opened in a newer version of Excel. Learn more: https://go.microsoft.com/fwlink/?linkid=870924
Comment:
    Should this be £811,482?</t>
      </text>
    </comment>
    <comment ref="E29" authorId="0" shapeId="0" xr:uid="{95119354-8F63-47C0-8902-0677FB383985}">
      <text>
        <r>
          <rPr>
            <b/>
            <sz val="9"/>
            <color indexed="81"/>
            <rFont val="Tahoma"/>
            <family val="2"/>
          </rPr>
          <t>Angela Lawton:</t>
        </r>
        <r>
          <rPr>
            <sz val="9"/>
            <color indexed="81"/>
            <rFont val="Tahoma"/>
            <family val="2"/>
          </rPr>
          <t xml:space="preserve">
2022-23 academic Year info</t>
        </r>
      </text>
    </comment>
    <comment ref="F29" authorId="0" shapeId="0" xr:uid="{6ECCA31C-C53C-49A7-A965-6CFA62BEC934}">
      <text>
        <r>
          <rPr>
            <b/>
            <sz val="9"/>
            <color indexed="81"/>
            <rFont val="Tahoma"/>
            <family val="2"/>
          </rPr>
          <t>Angela Lawton:</t>
        </r>
        <r>
          <rPr>
            <sz val="9"/>
            <color indexed="81"/>
            <rFont val="Tahoma"/>
            <family val="2"/>
          </rPr>
          <t xml:space="preserve">
22-23 Financial year info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21" authorId="0" shapeId="0" xr:uid="{2B565F15-B97D-4CEE-BC98-CDB55307ABA7}">
      <text>
        <r>
          <rPr>
            <b/>
            <sz val="9"/>
            <color indexed="81"/>
            <rFont val="Tahoma"/>
            <family val="2"/>
          </rPr>
          <t>David Leonard:</t>
        </r>
        <r>
          <rPr>
            <sz val="9"/>
            <color indexed="81"/>
            <rFont val="Tahoma"/>
            <family val="2"/>
          </rPr>
          <t xml:space="preserve">
Increased from 27 26/10/21</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tc={8B335A4D-E007-4C4E-8621-2A4456A67CE1}</author>
    <author>tc={E0702F4A-E67C-4D41-8554-DBB12E189389}</author>
    <author>tc={8A58A79B-D858-4B0A-A552-F65B035BD46D}</author>
    <author>tc={93273ED2-19B8-4B7F-A90C-F9B1F28D2271}</author>
    <author>tc={29CC0BE0-28D3-4056-8156-21BBCDEB9FC5}</author>
  </authors>
  <commentList>
    <comment ref="D4" authorId="0" shapeId="0" xr:uid="{8B335A4D-E007-4C4E-8621-2A4456A67CE1}">
      <text>
        <t>[Threaded comment]
Your version of Excel allows you to read this threaded comment; however, any edits to it will get removed if the file is opened in a newer version of Excel. Learn more: https://go.microsoft.com/fwlink/?linkid=870924
Comment:
    Information supplied by Sara Gregory</t>
      </text>
    </comment>
    <comment ref="E4" authorId="1" shapeId="0" xr:uid="{E0702F4A-E67C-4D41-8554-DBB12E189389}">
      <text>
        <t>[Threaded comment]
Your version of Excel allows you to read this threaded comment; however, any edits to it will get removed if the file is opened in a newer version of Excel. Learn more: https://go.microsoft.com/fwlink/?linkid=870924
Comment:
    Information supplied by Sara Gregory</t>
      </text>
    </comment>
    <comment ref="F9" authorId="2" shapeId="0" xr:uid="{8A58A79B-D858-4B0A-A552-F65B035BD46D}">
      <text>
        <t>[Threaded comment]
Your version of Excel allows you to read this threaded comment; however, any edits to it will get removed if the file is opened in a newer version of Excel. Learn more: https://go.microsoft.com/fwlink/?linkid=870924
Comment:
    To be funded from Non-DSB</t>
      </text>
    </comment>
    <comment ref="E13" authorId="3" shapeId="0" xr:uid="{93273ED2-19B8-4B7F-A90C-F9B1F28D2271}">
      <text>
        <t>[Threaded comment]
Your version of Excel allows you to read this threaded comment; however, any edits to it will get removed if the file is opened in a newer version of Excel. Learn more: https://go.microsoft.com/fwlink/?linkid=870924
Comment:
    Current agreement runs until Aug 25 with option to extend to Aug 27</t>
      </text>
    </comment>
    <comment ref="E23" authorId="4" shapeId="0" xr:uid="{29CC0BE0-28D3-4056-8156-21BBCDEB9FC5}">
      <text>
        <t>[Threaded comment]
Your version of Excel allows you to read this threaded comment; however, any edits to it will get removed if the file is opened in a newer version of Excel. Learn more: https://go.microsoft.com/fwlink/?linkid=870924
Comment:
    Current agreement runs until Aug 25 with possibility to extend until Aug 27</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E86E02D8-69D7-489D-865A-27E43930EC00}">
      <text>
        <r>
          <rPr>
            <b/>
            <sz val="8"/>
            <color indexed="81"/>
            <rFont val="Tahoma"/>
            <family val="2"/>
          </rPr>
          <t>david.leonard:</t>
        </r>
        <r>
          <rPr>
            <sz val="8"/>
            <color indexed="81"/>
            <rFont val="Tahoma"/>
            <family val="2"/>
          </rPr>
          <t xml:space="preserve">
Assumes M5 + £1100 TLR</t>
        </r>
      </text>
    </comment>
    <comment ref="D3" authorId="0" shapeId="0" xr:uid="{235D5281-0384-49E3-8BB0-7E03BF6A6300}">
      <text>
        <r>
          <rPr>
            <b/>
            <sz val="8"/>
            <color indexed="81"/>
            <rFont val="Tahoma"/>
            <family val="2"/>
          </rPr>
          <t>david.leonard:</t>
        </r>
        <r>
          <rPr>
            <sz val="8"/>
            <color indexed="81"/>
            <rFont val="Tahoma"/>
            <family val="2"/>
          </rPr>
          <t xml:space="preserve">
Assumes SCP12</t>
        </r>
      </text>
    </comment>
    <comment ref="E3" authorId="0" shapeId="0" xr:uid="{63AFF22B-29C9-4926-88EF-1A3D0D400DBD}">
      <text>
        <r>
          <rPr>
            <b/>
            <sz val="8"/>
            <color indexed="81"/>
            <rFont val="Tahoma"/>
            <family val="2"/>
          </rPr>
          <t>david.leonard:</t>
        </r>
        <r>
          <rPr>
            <sz val="8"/>
            <color indexed="81"/>
            <rFont val="Tahoma"/>
            <family val="2"/>
          </rPr>
          <t xml:space="preserve">
Assumes SCP 5 for 1h15 per day</t>
        </r>
      </text>
    </comment>
    <comment ref="I3" authorId="0" shapeId="0" xr:uid="{85128AD7-2DD0-461F-8238-51745F4679D9}">
      <text>
        <r>
          <rPr>
            <b/>
            <sz val="8"/>
            <color indexed="81"/>
            <rFont val="Tahoma"/>
            <family val="2"/>
          </rPr>
          <t>david.leonard:</t>
        </r>
        <r>
          <rPr>
            <sz val="8"/>
            <color indexed="81"/>
            <rFont val="Tahoma"/>
            <family val="2"/>
          </rPr>
          <t xml:space="preserve">
Assumes M6</t>
        </r>
      </text>
    </comment>
    <comment ref="J3" authorId="0" shapeId="0" xr:uid="{8E903552-BD2F-44FB-AB83-C841ACF1BFF7}">
      <text>
        <r>
          <rPr>
            <b/>
            <sz val="8"/>
            <color indexed="81"/>
            <rFont val="Tahoma"/>
            <family val="2"/>
          </rPr>
          <t>david.leonard:</t>
        </r>
        <r>
          <rPr>
            <sz val="8"/>
            <color indexed="81"/>
            <rFont val="Tahoma"/>
            <family val="2"/>
          </rPr>
          <t xml:space="preserve">
Assumes SCP 12</t>
        </r>
      </text>
    </comment>
    <comment ref="K3" authorId="0" shapeId="0" xr:uid="{3BAAA77F-D2DF-4C19-B4B9-7DF171C6E468}">
      <text>
        <r>
          <rPr>
            <b/>
            <sz val="8"/>
            <color indexed="81"/>
            <rFont val="Tahoma"/>
            <family val="2"/>
          </rPr>
          <t>david.leonard:</t>
        </r>
        <r>
          <rPr>
            <sz val="8"/>
            <color indexed="81"/>
            <rFont val="Tahoma"/>
            <family val="2"/>
          </rPr>
          <t xml:space="preserve">
Assumes SCP 5 for 1h15 per day</t>
        </r>
      </text>
    </comment>
    <comment ref="B5" authorId="1" shapeId="0" xr:uid="{D1F137DA-F392-4A14-90B9-D34355104FDA}">
      <text>
        <r>
          <rPr>
            <b/>
            <sz val="9"/>
            <color indexed="81"/>
            <rFont val="Tahoma"/>
            <family val="2"/>
          </rPr>
          <t>David Leonard:</t>
        </r>
        <r>
          <rPr>
            <sz val="9"/>
            <color indexed="81"/>
            <rFont val="Tahoma"/>
            <family val="2"/>
          </rPr>
          <t xml:space="preserve">
Reduced from 2.5:1</t>
        </r>
      </text>
    </comment>
    <comment ref="B11" authorId="1" shapeId="0" xr:uid="{E7170014-AA2D-4578-8CC3-FA790B238A8A}">
      <text>
        <r>
          <rPr>
            <b/>
            <sz val="9"/>
            <color indexed="81"/>
            <rFont val="Tahoma"/>
            <family val="2"/>
          </rPr>
          <t>David Leonard:</t>
        </r>
        <r>
          <rPr>
            <sz val="9"/>
            <color indexed="81"/>
            <rFont val="Tahoma"/>
            <family val="2"/>
          </rPr>
          <t xml:space="preserve">
Increased from 6:1</t>
        </r>
      </text>
    </comment>
    <comment ref="F20" authorId="0" shapeId="0" xr:uid="{C1FEE668-4AC2-418B-BF3F-2F3112A14D3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AE169E70-7D3F-490D-B306-F278D421EB1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sharedStrings.xml><?xml version="1.0" encoding="utf-8"?>
<sst xmlns="http://schemas.openxmlformats.org/spreadsheetml/2006/main" count="5784" uniqueCount="1197">
  <si>
    <t>Special Schools Summary</t>
  </si>
  <si>
    <t>Diff.</t>
  </si>
  <si>
    <t>Main Special Schools Formula</t>
  </si>
  <si>
    <t>PFI Factor</t>
  </si>
  <si>
    <t>Outreach Funding</t>
  </si>
  <si>
    <t>Portage Funding</t>
  </si>
  <si>
    <t>Residential Funding</t>
  </si>
  <si>
    <t>Band Descriptors</t>
  </si>
  <si>
    <t>Staffing Ratio</t>
  </si>
  <si>
    <t>Band Values</t>
  </si>
  <si>
    <t>2.5 to 1 Ratio</t>
  </si>
  <si>
    <t>5 to 1 Ratio</t>
  </si>
  <si>
    <t>6 to 1 Ratio</t>
  </si>
  <si>
    <t>Staffing Block</t>
  </si>
  <si>
    <t>Non-Staffing Block</t>
  </si>
  <si>
    <t>Group 3</t>
  </si>
  <si>
    <t>Group 4</t>
  </si>
  <si>
    <t>Group 5</t>
  </si>
  <si>
    <t>Group 6</t>
  </si>
  <si>
    <t>Lincolnshire Special Schools Funding Formula</t>
  </si>
  <si>
    <t>SPECIAL SCHOOLS FUNDING</t>
  </si>
  <si>
    <t>DfE No:</t>
  </si>
  <si>
    <t>Special School Formula Factors</t>
  </si>
  <si>
    <t>Free School Meals</t>
  </si>
  <si>
    <t>Indicative Place and Top up Funding *</t>
  </si>
  <si>
    <t>Indicative Place and Top up Funding</t>
  </si>
  <si>
    <t>Other Special Schools Funding Arrangements</t>
  </si>
  <si>
    <t>Site Factor</t>
  </si>
  <si>
    <t>PFI Block Allocation</t>
  </si>
  <si>
    <t>Split Site Allocation</t>
  </si>
  <si>
    <t>Commissioned Arrangements</t>
  </si>
  <si>
    <t>Total Other Special Schools Funding Arrangements</t>
  </si>
  <si>
    <t>Band Descriptor Profile</t>
  </si>
  <si>
    <t>School Percentage Profile</t>
  </si>
  <si>
    <t>Places</t>
  </si>
  <si>
    <t>Additional Pupils Placed</t>
  </si>
  <si>
    <t>Average Band Value</t>
  </si>
  <si>
    <t>Commissioned Place Value</t>
  </si>
  <si>
    <t>Band Descriptor</t>
  </si>
  <si>
    <t>Description: further detail provided relating to the principles of the band values</t>
  </si>
  <si>
    <t>A ratio of 2.5 to 1, requires for every 10 children, 1 Teacher &amp; 3 TAs.</t>
  </si>
  <si>
    <t>A ratio of 5 to 1, requires for every 10 children, 1 Teacher &amp; 1 TA.</t>
  </si>
  <si>
    <t>A ratio of 6 to 1, requires for every 12 children, 1 Teacher &amp; 1 TA.</t>
  </si>
  <si>
    <t>PFI Block</t>
  </si>
  <si>
    <t>Lincoln Fortuna (PFI)</t>
  </si>
  <si>
    <t>Grantham Phoenix (PFI)</t>
  </si>
  <si>
    <t>Lincoln Sincil Sports College (PFI)</t>
  </si>
  <si>
    <t>Spilsby The Lady Jane Franklin (PFI)</t>
  </si>
  <si>
    <t>DfE Number</t>
  </si>
  <si>
    <t>School</t>
  </si>
  <si>
    <t>Group</t>
  </si>
  <si>
    <t>Split-Site Factor</t>
  </si>
  <si>
    <t>Pre-16 &amp; Post-16 Banded Funding</t>
  </si>
  <si>
    <t>Free School Meal Funding</t>
  </si>
  <si>
    <t>Total Funding</t>
  </si>
  <si>
    <t>Total Funding (less PFI) - Removed from Place/Top up</t>
  </si>
  <si>
    <t>Total Funding Place</t>
  </si>
  <si>
    <t>Place-led Funding</t>
  </si>
  <si>
    <t>Top up Funding</t>
  </si>
  <si>
    <t>Final Budgets</t>
  </si>
  <si>
    <t>Boston John Fielding</t>
  </si>
  <si>
    <t>A</t>
  </si>
  <si>
    <t>A.</t>
  </si>
  <si>
    <t>Grantham Sandon</t>
  </si>
  <si>
    <t>Louth St Bernard's</t>
  </si>
  <si>
    <t>Spalding The Garth</t>
  </si>
  <si>
    <t>Spilsby The Eresby</t>
  </si>
  <si>
    <t>Gosberton House</t>
  </si>
  <si>
    <t>Grantham Ambergate</t>
  </si>
  <si>
    <t>Spalding The Priory</t>
  </si>
  <si>
    <t>Bourne Willoughby</t>
  </si>
  <si>
    <t>Horncastle St Lawrence</t>
  </si>
  <si>
    <t>Lincoln St Christopher's</t>
  </si>
  <si>
    <t xml:space="preserve">Lincoln St Francis </t>
  </si>
  <si>
    <t xml:space="preserve">Gainsborough Warren Wood </t>
  </si>
  <si>
    <t>Gainsborough Aegir</t>
  </si>
  <si>
    <t>Special Schools Band Descriptors</t>
  </si>
  <si>
    <t>DfE Funding Methodology</t>
  </si>
  <si>
    <t>Pre-16 Places</t>
  </si>
  <si>
    <t>Pre-16 Funding (Apr-Aug)</t>
  </si>
  <si>
    <t>Additionality Funding (Apr-Aug)</t>
  </si>
  <si>
    <t>Total Funding (Apr-Aug)</t>
  </si>
  <si>
    <t>Place Funding (Apr-Aug)</t>
  </si>
  <si>
    <t>Top up Funding (Apr-Aug)</t>
  </si>
  <si>
    <t>Lincoln Fortuna</t>
  </si>
  <si>
    <t>Grantham Phoenix</t>
  </si>
  <si>
    <t>Lincoln Sincil Sports College</t>
  </si>
  <si>
    <t>Spilsby The Lady Jane Franklin</t>
  </si>
  <si>
    <t>Post-16</t>
  </si>
  <si>
    <t>Post-16 Funding (Apr-Jul)</t>
  </si>
  <si>
    <t>Additionality Funding (Apr-Jul)</t>
  </si>
  <si>
    <t>Post-16 Place Funding</t>
  </si>
  <si>
    <t>Top up Funding (Apr-Jul)</t>
  </si>
  <si>
    <t>Pre-16 Funding (Sept-Mar)</t>
  </si>
  <si>
    <t>Additionality Funding (Sept-Mar)</t>
  </si>
  <si>
    <t>Pre-16 Funding (Sept - Mar)</t>
  </si>
  <si>
    <t>Place Funding (Sept - Mar)</t>
  </si>
  <si>
    <t>Top up Funding (Sept-Mar)</t>
  </si>
  <si>
    <t>Post-16 Funding (Aug-Mar)</t>
  </si>
  <si>
    <t>Additionality Funding (Aug-Mar)</t>
  </si>
  <si>
    <t>Top up Funding (Aug-Mar)</t>
  </si>
  <si>
    <t>Pre-16</t>
  </si>
  <si>
    <t>Summary</t>
  </si>
  <si>
    <t>Final Place &amp; Top up Funding</t>
  </si>
  <si>
    <t>Total Pre-16 Funding</t>
  </si>
  <si>
    <t>Total Post-16 Funding</t>
  </si>
  <si>
    <t>Total Pre &amp; Post-16 Funding</t>
  </si>
  <si>
    <t>Total Additionality Funding</t>
  </si>
  <si>
    <t>Total Pre &amp; Post-16 Additionality</t>
  </si>
  <si>
    <t>Average Places</t>
  </si>
  <si>
    <t>Ave. Band Value</t>
  </si>
  <si>
    <t>Pre-16 Place Funding</t>
  </si>
  <si>
    <t>Total Place Funding</t>
  </si>
  <si>
    <t>Pre-16 Top up Apr-Aug</t>
  </si>
  <si>
    <t>Pre-16 Top up Sept-Mar</t>
  </si>
  <si>
    <t>Total Pre-16 Top up Funding</t>
  </si>
  <si>
    <t>Post-16 Top up Apr-Jul</t>
  </si>
  <si>
    <t>Post-16 Top up Aug-Mar</t>
  </si>
  <si>
    <t>Total Post-16 Top up Funding</t>
  </si>
  <si>
    <t>Total Top up Funding</t>
  </si>
  <si>
    <t>OUTREACH/PORTAGE FUNDING - Overview</t>
  </si>
  <si>
    <t>Total Commissioned Funding</t>
  </si>
  <si>
    <t>SCHOOL NAME</t>
  </si>
  <si>
    <t>Boston John Fielding School</t>
  </si>
  <si>
    <t>Spilsby Lady Jane Franklin School</t>
  </si>
  <si>
    <t>Lincoln Fortuna School</t>
  </si>
  <si>
    <t>Gosberton House School</t>
  </si>
  <si>
    <t>Grantham Ambergate School</t>
  </si>
  <si>
    <t>Grantham Sandon School</t>
  </si>
  <si>
    <t>Gainsborough Aegir Community School</t>
  </si>
  <si>
    <t>Horncastle St Lawrence School</t>
  </si>
  <si>
    <t>Gainsborough Warren Wood Community School</t>
  </si>
  <si>
    <t>Lincoln Queen's Park School</t>
  </si>
  <si>
    <t>Lincoln St Christopher's School</t>
  </si>
  <si>
    <t>Lincoln St Francis Special School</t>
  </si>
  <si>
    <t>The Sincil School</t>
  </si>
  <si>
    <t>Louth St Bernard's School</t>
  </si>
  <si>
    <t>Spalding The Garth School</t>
  </si>
  <si>
    <t>Spalding The Priory School</t>
  </si>
  <si>
    <t>Spilsby The Eresby School</t>
  </si>
  <si>
    <t>Bourne Willoughby School</t>
  </si>
  <si>
    <t>Total</t>
  </si>
  <si>
    <t>Notes:</t>
  </si>
  <si>
    <t>Portage</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</si>
  <si>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</si>
  <si>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Outreach</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</si>
  <si>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</si>
  <si>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</si>
  <si>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</si>
  <si>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</si>
  <si>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</si>
  <si>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M.Popplewell 14.03.2013</t>
  </si>
  <si>
    <t>Split Site Factor</t>
  </si>
  <si>
    <t>N/A</t>
  </si>
  <si>
    <t>Fortuna</t>
  </si>
  <si>
    <t>NativeID</t>
  </si>
  <si>
    <t>Name</t>
  </si>
  <si>
    <t>Funding</t>
  </si>
  <si>
    <t>The Grantham Ambergate School</t>
  </si>
  <si>
    <t>The Grantham Sandon School</t>
  </si>
  <si>
    <t>The Priory School</t>
  </si>
  <si>
    <t>The John Fielding Community Special School</t>
  </si>
  <si>
    <t>The Garth School</t>
  </si>
  <si>
    <t>The Lincoln St Christopher's School</t>
  </si>
  <si>
    <t>The St Francis Special School, Lincoln</t>
  </si>
  <si>
    <t>The Horncastle St Lawrence School</t>
  </si>
  <si>
    <t>The Eresby School</t>
  </si>
  <si>
    <t>St Bernard's School, Louth</t>
  </si>
  <si>
    <t>The Willoughby School</t>
  </si>
  <si>
    <t>Fortuna School</t>
  </si>
  <si>
    <t>Warren Wood Community School</t>
  </si>
  <si>
    <t>Aegir Community School</t>
  </si>
  <si>
    <t>Meal Rate</t>
  </si>
  <si>
    <t>Period of funding (days)</t>
  </si>
  <si>
    <t>Increase in Funding</t>
  </si>
  <si>
    <t>School Name</t>
  </si>
  <si>
    <t>THE SPECIAL SCHOOLS FORMULA BUDGET ALLOCATION SPREADSHEET CONTAINS THE FOLLOWING WORKSHEETS</t>
  </si>
  <si>
    <t>ISB Weightings</t>
  </si>
  <si>
    <t>* Place-led Funding;</t>
  </si>
  <si>
    <t>* Top up Funding;</t>
  </si>
  <si>
    <t>* In-year Adjustments and Commissioned Places;</t>
  </si>
  <si>
    <t>* Band Profile;</t>
  </si>
  <si>
    <t>* Maintained Schools Budget Shares;</t>
  </si>
  <si>
    <t>* Special School Academies Budget Share</t>
  </si>
  <si>
    <t>Budget Shares</t>
  </si>
  <si>
    <t>You only need to enter the DfE number of your school in cell D4 (highlighted in yellow).</t>
  </si>
  <si>
    <t>It will populate the following:</t>
  </si>
  <si>
    <t>* The budget shares, populated through DfE place and top-up funding</t>
  </si>
  <si>
    <t>* The agreed number of pre-16 and post-16 places, and the total place-led funding;</t>
  </si>
  <si>
    <t>* Indicative top up funding for pre-16 and post-16 pupils, and the indicative total top up funding;</t>
  </si>
  <si>
    <t>* Average band value for commissioned places above the agreed places;</t>
  </si>
  <si>
    <t>* Commissioned Funding (namely, Residential Funding, Outreach and Portage)</t>
  </si>
  <si>
    <t>Funding Summary</t>
  </si>
  <si>
    <t>You only need to enter the DfE number of your school in cell B3 (highlighted in yellow).</t>
  </si>
  <si>
    <t xml:space="preserve">* The band descriptor profile for the school across the seven bands. </t>
  </si>
  <si>
    <t>Local Protection</t>
  </si>
  <si>
    <t>MFG DfE Protection</t>
  </si>
  <si>
    <t>Place Value</t>
  </si>
  <si>
    <t>Place Funding</t>
  </si>
  <si>
    <t>Total Places</t>
  </si>
  <si>
    <t>Total Place-led Funding</t>
  </si>
  <si>
    <t>p.a.</t>
  </si>
  <si>
    <t>Total Cost per Pupil</t>
  </si>
  <si>
    <t>Pupil-led</t>
  </si>
  <si>
    <t>Top up Value</t>
  </si>
  <si>
    <t>Indicative Top-up Funding</t>
  </si>
  <si>
    <t>`</t>
  </si>
  <si>
    <t>Average Band Value for Commissioned Places above the Agreed Places</t>
  </si>
  <si>
    <t>3.4% Grant Allocation</t>
  </si>
  <si>
    <t xml:space="preserve">The Education and Skills Funding Agency (ESFA) require Local Authorities to present special schools funding through a place and top up funding approach. The funding detailed within the 'Funding Summary' tab calculates the schools funding through Lincolnshire's agreed special schools funding formula, which has then been converted into the ESFA's place and top up arrangements for presentational purposes.   </t>
  </si>
  <si>
    <t>3. The agreed top up funding for the school is paid directly to the educating institution by the commissioner.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various scenarios, and schools have plans in place to respond to such challenges. Each school will have a different top up, as this represents each school's banded profile and school's characteristics (see ' Funding Summary' tab). Where pupils are placed from other LA's, we would advise that if the child has been recorded on your latest October census, then you should only be looking to reclaim the top-up funding value for that child. If they were not included on the October census, then you would be entitled to reclaim the commissioned funding value. The commissioned funding value should therefore only be looked to be claimed for new pupils who have joined within the past year. If the school feel this value does not cover the needs of that child, then it is up to the school and OLEA to agree an exceptional funding fee.</t>
  </si>
  <si>
    <t xml:space="preserve">4. The total cost per pupil for pre-16 &amp; post-16 pupil for each special school. This total cost per pupil amount is calculated from the agreed special schools funding formula. This includes the fixed costs (namely cost drivers from the staffing and non-staffing blocks), and the variable costs of the banded funding based on the schools moderated pupil profile. </t>
  </si>
  <si>
    <t>5 / 6. The indicative top up funding is making the assumption that the number of agreed places will be fully utilised with pupils throughout the financial year. Since the top up funding follows the child, this indicative top up funding may change during the financial year. Special schools are required to submit a termly return detailing the number of pupils present in the school each week, which will enable the LA to adjust the total top up funding accordingly. Schools can use this tool to understand funding changes that may take place where pupil numbers vary compared to the agreed place numbers.</t>
  </si>
  <si>
    <t xml:space="preserve">7. The Total Indicative top up funding based on the agreed number of places. </t>
  </si>
  <si>
    <t xml:space="preserve">9. The same approach for in-year changes in numbers on roll for special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number of child weeks attended per term against the indicative top up funding (total weeks). Where it has exceeded the indicative top up funding total weeks, the average band (less band G) of the school will apply for those weeks above this level. This will be allocated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With the lagged funding of places outlined by the ESFA, this funding stream will require even more attention by special schools.
Where the number of placement weeks is lower than the indicative top up funding total weeks per term, the school will have top up funding removed for those weeks (based on the schools top up value). This will form part of the termly adjustments process. </t>
  </si>
  <si>
    <t>1 to 1 Ratio</t>
  </si>
  <si>
    <t>A ratio of 1 TA to 1 child.</t>
  </si>
  <si>
    <t>MFG Funding</t>
  </si>
  <si>
    <t>Minimum £10,000pp Funding</t>
  </si>
  <si>
    <t>DfE Place Funding Adjustment</t>
  </si>
  <si>
    <t>Pilgrim School</t>
  </si>
  <si>
    <t>2023/24 Funding</t>
  </si>
  <si>
    <t>Non-staffing Block</t>
  </si>
  <si>
    <t>Banded Funding (A - F)</t>
  </si>
  <si>
    <t>Banded Funding (G)</t>
  </si>
  <si>
    <t>Local Protection Funding Allocation</t>
  </si>
  <si>
    <t>Average 2023/24</t>
  </si>
  <si>
    <t>Number on Roll (Place Numbers)</t>
  </si>
  <si>
    <t>Staffing and Non-staffing Block</t>
  </si>
  <si>
    <t>Band A</t>
  </si>
  <si>
    <t>Band B</t>
  </si>
  <si>
    <t>Band C</t>
  </si>
  <si>
    <t>Band D</t>
  </si>
  <si>
    <t>Band E</t>
  </si>
  <si>
    <t>Band F</t>
  </si>
  <si>
    <t>Band G</t>
  </si>
  <si>
    <t>Band C (New)</t>
  </si>
  <si>
    <t>2.06 to 1 Ratio</t>
  </si>
  <si>
    <t>A ratio of 2.06 to 1, requires for every 8 children, 1 Teacher &amp; 2.89 TAs.</t>
  </si>
  <si>
    <t>2 to 1 Ratio</t>
  </si>
  <si>
    <t>A ratio of 2 to 1, requires for every 8 children, 1 Teacher &amp; 3 TAs.</t>
  </si>
  <si>
    <t>A ratio of 2 to 1, requires for every 6 children, 1 Teacher &amp; 2 TAs.</t>
  </si>
  <si>
    <t>Categories - Staffing and Non-Staffing Blocks</t>
  </si>
  <si>
    <t>Banding Value Categorises (£ up to)</t>
  </si>
  <si>
    <t>School Size 3</t>
  </si>
  <si>
    <t>School Size 3 Transition Point</t>
  </si>
  <si>
    <t>School Size 4</t>
  </si>
  <si>
    <t>School Size 4 Transition Point</t>
  </si>
  <si>
    <t>School Size 5</t>
  </si>
  <si>
    <t>School Size 5 Transition Point</t>
  </si>
  <si>
    <t>School Size 6</t>
  </si>
  <si>
    <t>School Size 6 Transition Point</t>
  </si>
  <si>
    <t>School Size 7</t>
  </si>
  <si>
    <t>7. School Size category: the staffing and non-staffing block special school categories, which is determined by a schools overall banding monetary funding.</t>
  </si>
  <si>
    <t>9.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being financial disadvantaged. The authority will not agree to fund individual additional funding requests for every band G child admitted mid-year.</t>
  </si>
  <si>
    <t xml:space="preserve">13.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</si>
  <si>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14. Site Factor - Split Site allocation: where a single school operates over two or more locations and meets the split site policy criteria, schools are entitled to funding which represents the additional costs of operating compared to being on one site.</t>
  </si>
  <si>
    <t>Total Modreations</t>
  </si>
  <si>
    <t>John Fielding School</t>
  </si>
  <si>
    <t>Sandon School</t>
  </si>
  <si>
    <t>St Bernard's School</t>
  </si>
  <si>
    <t>Eresby Special School</t>
  </si>
  <si>
    <t>Ambergate Sports College</t>
  </si>
  <si>
    <t>St Lawrence School</t>
  </si>
  <si>
    <t>PFI School Size 4 Transition Point</t>
  </si>
  <si>
    <t>PFI School Size 3</t>
  </si>
  <si>
    <t>Athena School</t>
  </si>
  <si>
    <t>PFI School Size 4</t>
  </si>
  <si>
    <t>Woodlands Academy</t>
  </si>
  <si>
    <t>Warren Wood Specialist Academy</t>
  </si>
  <si>
    <t>Aegir Specialist Academy</t>
  </si>
  <si>
    <t>17/18</t>
  </si>
  <si>
    <t>Ash Villa</t>
  </si>
  <si>
    <t>Schools</t>
  </si>
  <si>
    <t>TLC</t>
  </si>
  <si>
    <t xml:space="preserve"> </t>
  </si>
  <si>
    <t>Total Budget Requirement</t>
  </si>
  <si>
    <t>Ave. Band Value (Excl. Band G)</t>
  </si>
  <si>
    <t>Greenfields Academy</t>
  </si>
  <si>
    <t>18/19</t>
  </si>
  <si>
    <t>% Band A</t>
  </si>
  <si>
    <t>% Band B</t>
  </si>
  <si>
    <t>% Band C</t>
  </si>
  <si>
    <t>% Band D</t>
  </si>
  <si>
    <t>% Band E</t>
  </si>
  <si>
    <t>% Band F</t>
  </si>
  <si>
    <t>% Band G</t>
  </si>
  <si>
    <t>Pre 16 Places (less Band G)</t>
  </si>
  <si>
    <t>Band G 19/20</t>
  </si>
  <si>
    <t>Reduction</t>
  </si>
  <si>
    <t xml:space="preserve">% Band B </t>
  </si>
  <si>
    <t xml:space="preserve">% Band C </t>
  </si>
  <si>
    <t xml:space="preserve">% Band D </t>
  </si>
  <si>
    <t xml:space="preserve">% Band E </t>
  </si>
  <si>
    <t xml:space="preserve">% Band F </t>
  </si>
  <si>
    <t xml:space="preserve">% Band G </t>
  </si>
  <si>
    <t>Grantham Greenfields Academy</t>
  </si>
  <si>
    <t>Teacher Costs per Pupil</t>
  </si>
  <si>
    <t>TA Costs per Pupil</t>
  </si>
  <si>
    <t>Midday Supervisor Per Pupil</t>
  </si>
  <si>
    <t>Notes</t>
  </si>
  <si>
    <t xml:space="preserve">Supplement factor to be applied to take into account the further access to programmes offered by schools </t>
  </si>
  <si>
    <t>A ratio of 1 to 1</t>
  </si>
  <si>
    <t>Exceptional Funding</t>
  </si>
  <si>
    <t>Additional Therapy</t>
  </si>
  <si>
    <t>2021/22</t>
  </si>
  <si>
    <t>2022/23</t>
  </si>
  <si>
    <t>OLEA Top Up Deduction</t>
  </si>
  <si>
    <t>Outreach Funding Extension</t>
  </si>
  <si>
    <t>Portage Funding Extension</t>
  </si>
  <si>
    <t>22/23 Place Funding Requirement (L14302)</t>
  </si>
  <si>
    <t>22/23 Top-up Requirement (L10635)</t>
  </si>
  <si>
    <t>2023/24</t>
  </si>
  <si>
    <t>Diff</t>
  </si>
  <si>
    <t>DLT paper to review extension beyond Aug 23</t>
  </si>
  <si>
    <t>Increase based on current 22/23 forecast - BH to verify</t>
  </si>
  <si>
    <t>Increase based on current 22/23 forecast</t>
  </si>
  <si>
    <t>Source Version 2 - including Tulip Amendments</t>
  </si>
  <si>
    <t>Accounts for supplementary funding allocation</t>
  </si>
  <si>
    <t>Special Schools Funding - Lincolnshire Model 2022/23 - Pre &amp; Post 16 Children</t>
  </si>
  <si>
    <t>*Excl' SplitSite &amp; PFI</t>
  </si>
  <si>
    <t>Teachers' Pay and Pension check</t>
  </si>
  <si>
    <t>School Size</t>
  </si>
  <si>
    <t>Band C Additionality Banded Funding</t>
  </si>
  <si>
    <t>2022/23 Places</t>
  </si>
  <si>
    <t>2022/23 Places (less Band G)</t>
  </si>
  <si>
    <t>*Total Funding (with MFG)</t>
  </si>
  <si>
    <t>Teachers' Pay Grant</t>
  </si>
  <si>
    <t>Teachers' Pension Grant</t>
  </si>
  <si>
    <t>Check</t>
  </si>
  <si>
    <t>Blocks incl. Teachers' pay &amp; pension</t>
  </si>
  <si>
    <t>Teachers' pay and pension (Bands 21/22)</t>
  </si>
  <si>
    <t>Total Per Place</t>
  </si>
  <si>
    <t>Boston Endeavour School</t>
  </si>
  <si>
    <t>The Tulip Academy</t>
  </si>
  <si>
    <t>2021/22 Comparison</t>
  </si>
  <si>
    <t>Note: exclude PFI costs</t>
  </si>
  <si>
    <t>Special Schools Funding - Lincolnshire Model 2023/24 - Pre &amp; Post 16 Children</t>
  </si>
  <si>
    <t>2023/24 Places</t>
  </si>
  <si>
    <t>2023/24 Places (less Band G)</t>
  </si>
  <si>
    <t>2022/23 Comparison</t>
  </si>
  <si>
    <t>Excl Split site and PFI</t>
  </si>
  <si>
    <t>3% cost</t>
  </si>
  <si>
    <t>School Size changes</t>
  </si>
  <si>
    <t>Version 2 - b/f</t>
  </si>
  <si>
    <t>Band C (Old)</t>
  </si>
  <si>
    <t>Protected Places</t>
  </si>
  <si>
    <t>B/F from 2022/23</t>
  </si>
  <si>
    <t>QUESTION</t>
  </si>
  <si>
    <t>a</t>
  </si>
  <si>
    <t>9257010e</t>
  </si>
  <si>
    <t xml:space="preserve">Protection Per Place </t>
  </si>
  <si>
    <t>B/F from 2022/23- separately identified</t>
  </si>
  <si>
    <t>b</t>
  </si>
  <si>
    <t>Band Value change</t>
  </si>
  <si>
    <t>The only increase relates to the supplementary funding allocation in 2022/23 which was in response to rising costs and outside of the MFG calcualtion, which is consistent with mainstream schools.</t>
  </si>
  <si>
    <t>9257010d</t>
  </si>
  <si>
    <t>c</t>
  </si>
  <si>
    <t>9257005e</t>
  </si>
  <si>
    <t>9257005d</t>
  </si>
  <si>
    <t>9257025e</t>
  </si>
  <si>
    <t>9257025d</t>
  </si>
  <si>
    <t>9257011e</t>
  </si>
  <si>
    <t>9257011d</t>
  </si>
  <si>
    <t>9257024e</t>
  </si>
  <si>
    <t>9257024d</t>
  </si>
  <si>
    <t>9257031e</t>
  </si>
  <si>
    <t>9257031d</t>
  </si>
  <si>
    <t>9257033e</t>
  </si>
  <si>
    <t>9257033d</t>
  </si>
  <si>
    <t>9257008e</t>
  </si>
  <si>
    <t>9257008d</t>
  </si>
  <si>
    <t>9257034e</t>
  </si>
  <si>
    <t>9257034d</t>
  </si>
  <si>
    <t>9257002e</t>
  </si>
  <si>
    <t>9257002d</t>
  </si>
  <si>
    <t>9257009e</t>
  </si>
  <si>
    <t>9257009d</t>
  </si>
  <si>
    <t>9257029e</t>
  </si>
  <si>
    <t>9257029d</t>
  </si>
  <si>
    <t>Lincoln Athena School</t>
  </si>
  <si>
    <t>9257032e</t>
  </si>
  <si>
    <t>9257032d</t>
  </si>
  <si>
    <t>Spilsby The Woodlands</t>
  </si>
  <si>
    <t>9257030e</t>
  </si>
  <si>
    <t>9257030d</t>
  </si>
  <si>
    <t>9257028e</t>
  </si>
  <si>
    <t>9257028d</t>
  </si>
  <si>
    <t>9257021e</t>
  </si>
  <si>
    <t>9257021d</t>
  </si>
  <si>
    <t>9257015e</t>
  </si>
  <si>
    <t>9257015d</t>
  </si>
  <si>
    <t>9257016e</t>
  </si>
  <si>
    <t>9257016d</t>
  </si>
  <si>
    <t>2023/24 MFG Protection</t>
  </si>
  <si>
    <t>2022/23 Protection Level</t>
  </si>
  <si>
    <t>Change</t>
  </si>
  <si>
    <t>Drop in place numbers</t>
  </si>
  <si>
    <t>B/F from 2021/22</t>
  </si>
  <si>
    <t>B/F from 2021/22- separately identified</t>
  </si>
  <si>
    <t>This should be formula driven to zero until 2022/23 band values change (i.e. inflation) - this will then reduce their level of MFG. A lookup to 2022/23 Band values tab showing the difference between the band value of 22/23 and 21/22 is required.</t>
  </si>
  <si>
    <t>Protected Places - Future</t>
  </si>
  <si>
    <t>2022/23 MFG Protection</t>
  </si>
  <si>
    <t>2021/22 Protection Level</t>
  </si>
  <si>
    <t>d</t>
  </si>
  <si>
    <t>21/22</t>
  </si>
  <si>
    <t>Financial Year</t>
  </si>
  <si>
    <t xml:space="preserve">Places Funded </t>
  </si>
  <si>
    <t>2023/24 Protected Places</t>
  </si>
  <si>
    <t>e</t>
  </si>
  <si>
    <t>Band Value change (increase)</t>
  </si>
  <si>
    <t>2023/24 Protection Funding</t>
  </si>
  <si>
    <t>Protection Funding Per Band</t>
  </si>
  <si>
    <t>Band Funding</t>
  </si>
  <si>
    <t>Block Funding</t>
  </si>
  <si>
    <t>FSM</t>
  </si>
  <si>
    <t>2023/24 Total Funding</t>
  </si>
  <si>
    <t>Non-PFI Schools</t>
  </si>
  <si>
    <t>PFI Schools</t>
  </si>
  <si>
    <t>Increments</t>
  </si>
  <si>
    <t>2021/22 School Size Threshold</t>
  </si>
  <si>
    <t>2023/24 School Size Threshold</t>
  </si>
  <si>
    <t>Staffing Block Value</t>
  </si>
  <si>
    <t>Non-Staffing Block Value</t>
  </si>
  <si>
    <t>School Size 7 Transition Point</t>
  </si>
  <si>
    <t>School Size 8</t>
  </si>
  <si>
    <t>2022/23 Special Schools - Published Funding</t>
  </si>
  <si>
    <t>Academic Year 2022-2023 Place Nos</t>
  </si>
  <si>
    <t>2022-2023 Place Funding</t>
  </si>
  <si>
    <t>2022-2023 Top-Up Funding</t>
  </si>
  <si>
    <t>3% Supplementary Funding</t>
  </si>
  <si>
    <t>Total 2022-2023 Top-Up Funding</t>
  </si>
  <si>
    <t>2022-2023 Average Top-Up Funding</t>
  </si>
  <si>
    <t>2022-2023 Places Nos x Average Top-Up</t>
  </si>
  <si>
    <t>Total 2022-2023 Funding</t>
  </si>
  <si>
    <t>Average 2022/23 Places</t>
  </si>
  <si>
    <t>3% Increase</t>
  </si>
  <si>
    <t>OLEA Deduction</t>
  </si>
  <si>
    <t>Agreed Allocations</t>
  </si>
  <si>
    <t>Boston Endeavour</t>
  </si>
  <si>
    <t>Pilgrim Hospital</t>
  </si>
  <si>
    <t>Springwell (Mablethorpe)</t>
  </si>
  <si>
    <t>Springwell (Lincoln)</t>
  </si>
  <si>
    <t>Springwell (Spalding)</t>
  </si>
  <si>
    <t>Springwell (Grantham)</t>
  </si>
  <si>
    <t>3.4% Special School Allocations</t>
  </si>
  <si>
    <t>2022-2023 Split Site Funding</t>
  </si>
  <si>
    <t>2022-2023 &amp; 2023-2024 Places Nos x Average Top-Up</t>
  </si>
  <si>
    <t>Condition Grant - identified  Funding Level</t>
  </si>
  <si>
    <t>2023-2024 Agreed Academic Year Place Nos</t>
  </si>
  <si>
    <t>Includes PFI amounts</t>
  </si>
  <si>
    <t>4 (TP)</t>
  </si>
  <si>
    <t>PFI 4 (TP)</t>
  </si>
  <si>
    <t>5 (TP)</t>
  </si>
  <si>
    <t>6 (TP)</t>
  </si>
  <si>
    <t>Variance</t>
  </si>
  <si>
    <t>Increase in Place Numbers (19/20 - 20/21)</t>
  </si>
  <si>
    <t>Increase in band G (19/20 - 20/21)</t>
  </si>
  <si>
    <t>Lincoln The Athena School</t>
  </si>
  <si>
    <t>2021/22 Changes</t>
  </si>
  <si>
    <t>2022/23 Change</t>
  </si>
  <si>
    <t>TA Increase</t>
  </si>
  <si>
    <t>Teachers' Grants Increase</t>
  </si>
  <si>
    <t>2% Pay Award and Pension</t>
  </si>
  <si>
    <t>Growth in Band Values</t>
  </si>
  <si>
    <t>Teachers' pay &amp; pension grant not applicable</t>
  </si>
  <si>
    <t>Average</t>
  </si>
  <si>
    <t>Justification to increase the band ranges by 10%</t>
  </si>
  <si>
    <t>Revised Average</t>
  </si>
  <si>
    <t>2022/23 School Size Threshold</t>
  </si>
  <si>
    <t>Note: Use this section for modelling</t>
  </si>
  <si>
    <t>Incrementally the gaps are widening by £55,000 (economies of scale)</t>
  </si>
  <si>
    <t>Version 8 - figures for ease</t>
  </si>
  <si>
    <t>Intervention officer - SCP15</t>
  </si>
  <si>
    <t>3% increase</t>
  </si>
  <si>
    <t>Note: Athena Annex (s)</t>
  </si>
  <si>
    <t>Note: Athena Annex (n-s)</t>
  </si>
  <si>
    <t>Supplementary Funding</t>
  </si>
  <si>
    <t>PFI</t>
  </si>
  <si>
    <t>Staffing Block Levy</t>
  </si>
  <si>
    <r>
      <t xml:space="preserve">Non-Staffing Block Value </t>
    </r>
    <r>
      <rPr>
        <b/>
        <sz val="10"/>
        <rFont val="Arial"/>
        <family val="2"/>
      </rPr>
      <t>6%</t>
    </r>
  </si>
  <si>
    <t>6% increase</t>
  </si>
  <si>
    <r>
      <t xml:space="preserve">Non-Staffing Block Value </t>
    </r>
    <r>
      <rPr>
        <b/>
        <sz val="10"/>
        <rFont val="Arial"/>
        <family val="2"/>
      </rPr>
      <t>3%</t>
    </r>
  </si>
  <si>
    <t>Athena Annex</t>
  </si>
  <si>
    <t>Group 2</t>
  </si>
  <si>
    <t>Group 7</t>
  </si>
  <si>
    <t>Group 8</t>
  </si>
  <si>
    <t>Option 1 (6%)</t>
  </si>
  <si>
    <t>Option 2 (3%)</t>
  </si>
  <si>
    <t>Values subject to affordability</t>
  </si>
  <si>
    <t>Band C - Additionality</t>
  </si>
  <si>
    <t>£0-£300k</t>
  </si>
  <si>
    <t>£300k-400k</t>
  </si>
  <si>
    <t>£400k-£600k</t>
  </si>
  <si>
    <t>£500k-600k</t>
  </si>
  <si>
    <t>£600k-800k</t>
  </si>
  <si>
    <t>£1200k-1300k</t>
  </si>
  <si>
    <t>£1300k-1600k</t>
  </si>
  <si>
    <t>Initial Modelling Approach</t>
  </si>
  <si>
    <t>£1400k-1500k</t>
  </si>
  <si>
    <t>£1500k-1800k</t>
  </si>
  <si>
    <t>£1800k-1900k</t>
  </si>
  <si>
    <t>£1900k +</t>
  </si>
  <si>
    <t>£2000k +</t>
  </si>
  <si>
    <t>Current group sizes</t>
  </si>
  <si>
    <t>2a</t>
  </si>
  <si>
    <t>2b</t>
  </si>
  <si>
    <t>Agreed Approach</t>
  </si>
  <si>
    <t>Staffing</t>
  </si>
  <si>
    <t>Non-Staffing</t>
  </si>
  <si>
    <t>Total Band Value</t>
  </si>
  <si>
    <t>Non-Staf'</t>
  </si>
  <si>
    <t>Original Mix</t>
  </si>
  <si>
    <t>v.1</t>
  </si>
  <si>
    <t>Banded</t>
  </si>
  <si>
    <t>Lump Sum</t>
  </si>
  <si>
    <t>Per Centre</t>
  </si>
  <si>
    <t>x4</t>
  </si>
  <si>
    <t>Original Budget</t>
  </si>
  <si>
    <t>To be released</t>
  </si>
  <si>
    <t>Based on Band 5 plus additionality</t>
  </si>
  <si>
    <t>PFI School Size 3 Transition Point</t>
  </si>
  <si>
    <t>The cost of a band may be lower.</t>
  </si>
  <si>
    <t>PFI School Size 5</t>
  </si>
  <si>
    <t>PFI School Size 5 Transition Point</t>
  </si>
  <si>
    <t>To be released but split site arrangements would need to operate</t>
  </si>
  <si>
    <t>Modelling Work</t>
  </si>
  <si>
    <t>Check Sandon - after Reorg</t>
  </si>
  <si>
    <t>Band Threshold + 2%</t>
  </si>
  <si>
    <t>Phase</t>
  </si>
  <si>
    <t>Count of Pupils On Roll</t>
  </si>
  <si>
    <t>Count of Pupils Eligible for FSM</t>
  </si>
  <si>
    <t>Community Inclusive Trust (Ambergate)</t>
  </si>
  <si>
    <t>Special</t>
  </si>
  <si>
    <t>Gosberton House Academy</t>
  </si>
  <si>
    <t>Priory School (Spalding)</t>
  </si>
  <si>
    <t>John Fielding Special School</t>
  </si>
  <si>
    <t>Garth School</t>
  </si>
  <si>
    <t>Lincoln, St Francis School</t>
  </si>
  <si>
    <t>St Bernards School, Louth</t>
  </si>
  <si>
    <t>Willoughby Academy</t>
  </si>
  <si>
    <t>Mayflower Academy Warren Wood - A Specialist Academy</t>
  </si>
  <si>
    <t>Mayflower Specialist School Academy Aegir - A Specialist Academy</t>
  </si>
  <si>
    <t>FSM taken as at Oct 21</t>
  </si>
  <si>
    <t>Count of meals taken</t>
  </si>
  <si>
    <t>The Pilgrim School</t>
  </si>
  <si>
    <t>2022/23 Allocation</t>
  </si>
  <si>
    <t>Mainstream Rate is £480 p.a.</t>
  </si>
  <si>
    <t>2021/22 Allocation</t>
  </si>
  <si>
    <t>21/22 Portage Approach</t>
  </si>
  <si>
    <t>21/22 Outreach Funding</t>
  </si>
  <si>
    <t xml:space="preserve">21/22 Residential Funding </t>
  </si>
  <si>
    <t>22/23 Portage Approach</t>
  </si>
  <si>
    <t>22/23 Outreach Funding</t>
  </si>
  <si>
    <t xml:space="preserve">22/23 Residential Funding </t>
  </si>
  <si>
    <t>23/24 Portage Approach</t>
  </si>
  <si>
    <t>23/24 Outreach Funding</t>
  </si>
  <si>
    <t xml:space="preserve">23/24 Residential Funding </t>
  </si>
  <si>
    <t>Continuing to fund from April 2022 to August 2022 - due to go out for an expression of interest to the Lincolnshire special schools and academies for 1st September 2022 3 years initially and then possible further 2 years. Will know following EOI whether it is Gosberton House again</t>
  </si>
  <si>
    <t xml:space="preserve">Residential funding now ceased wef Sep 21. MOU for St Francis is currently until end of August 2022 but there is option to extend within there so I will check whether the intention is to extend </t>
  </si>
  <si>
    <t>EM confirmed 24/2/22 funding to remain</t>
  </si>
  <si>
    <t>MDS: This was previously the cost applied over 10 children, however 8 was applied (amended)</t>
  </si>
  <si>
    <t>MFG - Band Increase (Excl. Teachers' Increase)</t>
  </si>
  <si>
    <t>Pension</t>
  </si>
  <si>
    <t>Pay</t>
  </si>
  <si>
    <t>Modelling using 2021/22 pay scales</t>
  </si>
  <si>
    <t>2020/21 Band Value</t>
  </si>
  <si>
    <t>Teacher Increase Per Place</t>
  </si>
  <si>
    <t>ESFA All</t>
  </si>
  <si>
    <t>Main 4</t>
  </si>
  <si>
    <t>TA12</t>
  </si>
  <si>
    <t>MDS</t>
  </si>
  <si>
    <t>2020/21 comparison</t>
  </si>
  <si>
    <t>Main 5</t>
  </si>
  <si>
    <t>TA9</t>
  </si>
  <si>
    <t>Main 5 (80%)</t>
  </si>
  <si>
    <t>TA12 (80%)</t>
  </si>
  <si>
    <t>Main 5 (60%)</t>
  </si>
  <si>
    <t>TA12 (60%)</t>
  </si>
  <si>
    <t>Overall Increase</t>
  </si>
  <si>
    <t>Excl. Teachers'</t>
  </si>
  <si>
    <t>Main 5 (71%)</t>
  </si>
  <si>
    <t>TA12 (70%)</t>
  </si>
  <si>
    <t>A ratio of 5 to 1, requires for every 10 children, 1 Teacher &amp; 1 TA</t>
  </si>
  <si>
    <t>Or we could mock up 80% of TA differential to be in the band.</t>
  </si>
  <si>
    <t>Or Band G</t>
  </si>
  <si>
    <t>2.7 to 1 Ratio</t>
  </si>
  <si>
    <t>A ratio of 2.7 to 1, requires for every 8 children, 1 Teacher &amp; 2 TAs.</t>
  </si>
  <si>
    <t>TA Per Place</t>
  </si>
  <si>
    <t>Total - Class</t>
  </si>
  <si>
    <t>TA</t>
  </si>
  <si>
    <t>FTE</t>
  </si>
  <si>
    <t>Health &amp; Social Care Levy Increase</t>
  </si>
  <si>
    <t>Agreed 22/23 Baseline Band Values</t>
  </si>
  <si>
    <t>22/23 Revised TA Rate</t>
  </si>
  <si>
    <t>22/23 Revised Teacher Rate</t>
  </si>
  <si>
    <t>22/23 Revised MDS Rate</t>
  </si>
  <si>
    <t>22/23 Revised Band Values (Inc 2%)</t>
  </si>
  <si>
    <t>% increase compared to 2020/21 Baseline</t>
  </si>
  <si>
    <t xml:space="preserve">Increase from 2021/22 to 2022/23 </t>
  </si>
  <si>
    <t>Increase in 22/23 Band Values</t>
  </si>
  <si>
    <t>Before Pension Change</t>
  </si>
  <si>
    <t>Diff. Pension Change</t>
  </si>
  <si>
    <t>Teachers'</t>
  </si>
  <si>
    <t>TAs</t>
  </si>
  <si>
    <t>Total Per Band</t>
  </si>
  <si>
    <t>AP / Medical Band 2</t>
  </si>
  <si>
    <t>Medical Band 1</t>
  </si>
  <si>
    <t>A ratio of 4 to 1, requires for every 8 children, 1 Teacher &amp; 1 TAs.</t>
  </si>
  <si>
    <t>Box 1.</t>
  </si>
  <si>
    <t>QUALIFIED TEACHERS SALARY SCALES 2020-21</t>
  </si>
  <si>
    <t>Box 2.</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</si>
  <si>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</si>
  <si>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3.</t>
  </si>
  <si>
    <t>Please note these figures include the Pay Award from September 2020.</t>
  </si>
  <si>
    <t>Box 5.</t>
  </si>
  <si>
    <t>NI</t>
  </si>
  <si>
    <t>Box 4.</t>
  </si>
  <si>
    <t xml:space="preserve">Please note these Salary Scales include Super rates at 23.68%, which are with effect from 1 September 2019. </t>
  </si>
  <si>
    <t>LEL</t>
  </si>
  <si>
    <t>Box 6.</t>
  </si>
  <si>
    <t>SALARY RANGE</t>
  </si>
  <si>
    <t>NI RATES (W.E.F 1/4/20)</t>
  </si>
  <si>
    <t xml:space="preserve"> SUPER = 23.68% (W.E.F 1/9/19)</t>
  </si>
  <si>
    <t>ST</t>
  </si>
  <si>
    <t>Upper</t>
  </si>
  <si>
    <t xml:space="preserve"> Basic Salary(W.E.F. 1 September 2020)</t>
  </si>
  <si>
    <t>SUPER</t>
  </si>
  <si>
    <t>Box 7.</t>
  </si>
  <si>
    <t>In Pension Scheme</t>
  </si>
  <si>
    <t>Not In Pension Scheme</t>
  </si>
  <si>
    <t>Grade</t>
  </si>
  <si>
    <t>S.C.P.</t>
  </si>
  <si>
    <t>Salary</t>
  </si>
  <si>
    <t>N.I.</t>
  </si>
  <si>
    <t>Super 23.68%</t>
  </si>
  <si>
    <t>PAY SPINE</t>
  </si>
  <si>
    <t xml:space="preserve">LEL - The Lower Earning Limit </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</si>
  <si>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</si>
  <si>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</si>
  <si>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</si>
  <si>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
  </si>
  <si>
    <t>===============================</t>
  </si>
  <si>
    <t>UPPER PAY</t>
  </si>
  <si>
    <t>ST - The Secondary Threshold (sometimes called the Secondary Earnings Threshold)</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</si>
  <si>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</si>
  <si>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</si>
  <si>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UEL - The Upper Earnings Limit</t>
  </si>
  <si>
    <t>=========================================================================</t>
  </si>
  <si>
    <t>For high earners who are paid over the Upper Earnings Limit, the National Insurance rate falls.earnings.</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</si>
  <si>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</si>
  <si>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</si>
  <si>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</si>
  <si>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</si>
  <si>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</si>
  <si>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</si>
  <si>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</si>
  <si>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</si>
  <si>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</si>
  <si>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</si>
  <si>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</si>
  <si>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</si>
  <si>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</si>
  <si>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</si>
  <si>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</si>
  <si>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</si>
  <si>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</si>
  <si>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Note: 2% pay award</t>
  </si>
  <si>
    <t>Note: Health &amp; Social Care Levy increase</t>
  </si>
  <si>
    <t>QUALIFIED TEACHERS SALARY SCALES 2022-23</t>
  </si>
  <si>
    <t>Please note these figures include the Pay Award from September 2022.</t>
  </si>
  <si>
    <t xml:space="preserve">Please note these Salary Scales include Super rates at 23.68%, which are with effect from 1 April 2022. </t>
  </si>
  <si>
    <t>NI RATES (W.E.F 1/4/22)</t>
  </si>
  <si>
    <t xml:space="preserve"> SUPER = 23.68% (W.E.F 1/4/22)</t>
  </si>
  <si>
    <t xml:space="preserve"> Basic Salary (W.E.F. 1 September 2022)</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</si>
  <si>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(13.25%)</t>
    </r>
  </si>
  <si>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(15.05%)</t>
    </r>
  </si>
  <si>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(15.05%) on these </t>
    </r>
  </si>
  <si>
    <t>TEACHING ASSISTANT SCALES - UNDER 5 YEARS SERVICE</t>
  </si>
  <si>
    <t>LCC APT&amp;C SALARY SCALES 2020-21</t>
  </si>
  <si>
    <t>THESE SALARY SCALES INCLUDE:</t>
  </si>
  <si>
    <t>NATIONAL INSURANCE RATES AS FROM 01/04/2020</t>
  </si>
  <si>
    <t>SUPERANNUATION RATE 24.9% AS FROM 01/04/2020</t>
  </si>
  <si>
    <t>PAY INCREASES FROM 01/04/2019</t>
  </si>
  <si>
    <t>STANDARD EQUATION CODES FOR UNDER 5 YEARS SERVICE</t>
  </si>
  <si>
    <t>NI RATES (W.E.F 01/04/20)</t>
  </si>
  <si>
    <t xml:space="preserve"> SUPER = 24.9% (W.E.F 01/04/20)</t>
  </si>
  <si>
    <t>NIL</t>
  </si>
  <si>
    <t>AND ABOVE</t>
  </si>
  <si>
    <t>@</t>
  </si>
  <si>
    <t>%</t>
  </si>
  <si>
    <t>UEL</t>
  </si>
  <si>
    <t>Contracted Out</t>
  </si>
  <si>
    <t>Not Contracted Out</t>
  </si>
  <si>
    <t>GRADE</t>
  </si>
  <si>
    <t>SALARY</t>
  </si>
  <si>
    <t>TOTAL</t>
  </si>
  <si>
    <t xml:space="preserve">  I</t>
  </si>
  <si>
    <t>TA Grade G3</t>
  </si>
  <si>
    <t>LEL - The Lower Earning Limit</t>
  </si>
  <si>
    <t xml:space="preserve">  I  6 - 9</t>
  </si>
  <si>
    <t>TA Grade G5</t>
  </si>
  <si>
    <t xml:space="preserve">  I  12 - 15</t>
  </si>
  <si>
    <t>TA Grade G6</t>
  </si>
  <si>
    <t xml:space="preserve">  I Advanced</t>
  </si>
  <si>
    <t xml:space="preserve">  I  14 - 18</t>
  </si>
  <si>
    <t>TA Grade G7</t>
  </si>
  <si>
    <t xml:space="preserve">  I Management</t>
  </si>
  <si>
    <t xml:space="preserve">  I  17 - 21</t>
  </si>
  <si>
    <t>TA Grade G8</t>
  </si>
  <si>
    <t xml:space="preserve">  I HLTA</t>
  </si>
  <si>
    <t xml:space="preserve">  I  20 - 24</t>
  </si>
  <si>
    <t>**</t>
  </si>
  <si>
    <t>TA Revision</t>
  </si>
  <si>
    <t>Note: 2% pay award; Pension increase to 26.9%</t>
  </si>
  <si>
    <t>LCC APT&amp;C SALARY SCALES 2022-23</t>
  </si>
  <si>
    <t>NATIONAL INSURANCE RATES AS FROM 06/11/2022</t>
  </si>
  <si>
    <t>SUPERANNUATION RATE 26.9% AS FROM 01/04/2022</t>
  </si>
  <si>
    <t>PAY INCREASES FROM 01/04/2022</t>
  </si>
  <si>
    <t>NI RATES (W.E.F 06/11/22)</t>
  </si>
  <si>
    <t xml:space="preserve"> SUPER = 26.9% (W.E.F 01/04/22)</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</si>
  <si>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(13.80%)</t>
    </r>
  </si>
  <si>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(13.80%) on these </t>
    </r>
  </si>
  <si>
    <t>21/22 Band Profiles</t>
  </si>
  <si>
    <t>2022/23 Budget Share Calculations</t>
  </si>
  <si>
    <t>April 22 - August 22 (Pre-16)</t>
  </si>
  <si>
    <t>Numbers agreed as per Nov 20 ESFA return</t>
  </si>
  <si>
    <t>April 22 - July 22 (Post-16)</t>
  </si>
  <si>
    <t>September 22 - March 23 (Pre-16)</t>
  </si>
  <si>
    <t>Numbers agreed as per Nov 21 ESFA return</t>
  </si>
  <si>
    <t>August 22 - March 23 (Post-16)</t>
  </si>
  <si>
    <t>Band G 22/23</t>
  </si>
  <si>
    <t>v7</t>
  </si>
  <si>
    <t>v6</t>
  </si>
  <si>
    <t>2023/24 Budget Share Calculations</t>
  </si>
  <si>
    <t>April 23 - August 23 (Pre-16)</t>
  </si>
  <si>
    <t>April 23 - July 23 (Post-16)</t>
  </si>
  <si>
    <t>September 23 - March 24 (Pre-16)</t>
  </si>
  <si>
    <t>Numbers agreed as per Nov 22 ESFA return</t>
  </si>
  <si>
    <t>August 23 - March 24 (Post-16)</t>
  </si>
  <si>
    <t>Includes 3%</t>
  </si>
  <si>
    <t>Band G 23/24</t>
  </si>
  <si>
    <t>22/23 Band Profiles</t>
  </si>
  <si>
    <t>Agreed Place Numbers</t>
  </si>
  <si>
    <t>21/22 to 22/23 Variances</t>
  </si>
  <si>
    <t>Top-up Rate</t>
  </si>
  <si>
    <t>OLEA Placements</t>
  </si>
  <si>
    <t>Class List Received</t>
  </si>
  <si>
    <t>20/21 Funded</t>
  </si>
  <si>
    <t>Proposed Number</t>
  </si>
  <si>
    <t>Proposal Letter Sent</t>
  </si>
  <si>
    <t>Numbers Confirmed</t>
  </si>
  <si>
    <t>Post 16</t>
  </si>
  <si>
    <t>OLEA's</t>
  </si>
  <si>
    <t>BJF</t>
  </si>
  <si>
    <t>Y</t>
  </si>
  <si>
    <t>N</t>
  </si>
  <si>
    <t>Garth</t>
  </si>
  <si>
    <t>Priory</t>
  </si>
  <si>
    <t>Woodlands</t>
  </si>
  <si>
    <t>Athena</t>
  </si>
  <si>
    <t xml:space="preserve">Gosberton </t>
  </si>
  <si>
    <t>Aegir</t>
  </si>
  <si>
    <t>Warren Wood</t>
  </si>
  <si>
    <t>St Christopher's</t>
  </si>
  <si>
    <t>St Francis</t>
  </si>
  <si>
    <t>St Lawrence</t>
  </si>
  <si>
    <t>St Bernard's</t>
  </si>
  <si>
    <t>Willoughby</t>
  </si>
  <si>
    <t>Greenfields</t>
  </si>
  <si>
    <t>Eresby</t>
  </si>
  <si>
    <t>Ambergate</t>
  </si>
  <si>
    <t>Sandon</t>
  </si>
  <si>
    <t>23/24 Band Profiles</t>
  </si>
  <si>
    <t>23/24</t>
  </si>
  <si>
    <t>21/22 Funded</t>
  </si>
  <si>
    <t>BJF/BEA</t>
  </si>
  <si>
    <t>Tulip</t>
  </si>
  <si>
    <t>22/23</t>
  </si>
  <si>
    <t>3.4% All'</t>
  </si>
  <si>
    <t>Ave Place rate</t>
  </si>
  <si>
    <t>92570102022/23</t>
  </si>
  <si>
    <t>9257010</t>
  </si>
  <si>
    <t>9257010a</t>
  </si>
  <si>
    <t>9257010b</t>
  </si>
  <si>
    <t>9257010c</t>
  </si>
  <si>
    <t>92570052022/23</t>
  </si>
  <si>
    <t>9257005</t>
  </si>
  <si>
    <t>9257005a</t>
  </si>
  <si>
    <t>9257005b</t>
  </si>
  <si>
    <t>9257005c</t>
  </si>
  <si>
    <t>92570252022/23</t>
  </si>
  <si>
    <t>9257025</t>
  </si>
  <si>
    <t>9257025a</t>
  </si>
  <si>
    <t>9257025b</t>
  </si>
  <si>
    <t>9257025c</t>
  </si>
  <si>
    <t>92570112021/22</t>
  </si>
  <si>
    <t>9257011</t>
  </si>
  <si>
    <t>9257011a</t>
  </si>
  <si>
    <t>9257011b</t>
  </si>
  <si>
    <t>9257011c</t>
  </si>
  <si>
    <t>92570242022/23</t>
  </si>
  <si>
    <t>9257024</t>
  </si>
  <si>
    <t>9257024a</t>
  </si>
  <si>
    <t>9257024b</t>
  </si>
  <si>
    <t>9257024c</t>
  </si>
  <si>
    <t>92570312022/23</t>
  </si>
  <si>
    <t>9257031</t>
  </si>
  <si>
    <t>9257031a</t>
  </si>
  <si>
    <t>9257031b</t>
  </si>
  <si>
    <t>9257031c</t>
  </si>
  <si>
    <t>92570332022/23</t>
  </si>
  <si>
    <t>9257033</t>
  </si>
  <si>
    <t>9257033a</t>
  </si>
  <si>
    <t>9257033b</t>
  </si>
  <si>
    <t>9257033c</t>
  </si>
  <si>
    <t>92570082022/23</t>
  </si>
  <si>
    <t>9257008</t>
  </si>
  <si>
    <t>9257008a</t>
  </si>
  <si>
    <t>9257008b</t>
  </si>
  <si>
    <t>9257008c</t>
  </si>
  <si>
    <t>92570342022/23</t>
  </si>
  <si>
    <t>9257034</t>
  </si>
  <si>
    <t>9257034a</t>
  </si>
  <si>
    <t>9257034b</t>
  </si>
  <si>
    <t>9257034c</t>
  </si>
  <si>
    <t>92570022022/23</t>
  </si>
  <si>
    <t>9257002</t>
  </si>
  <si>
    <t>9257002a</t>
  </si>
  <si>
    <t>9257002b</t>
  </si>
  <si>
    <t>9257002c</t>
  </si>
  <si>
    <t>92570092022/23</t>
  </si>
  <si>
    <t>9257009</t>
  </si>
  <si>
    <t>9257009a</t>
  </si>
  <si>
    <t>9257009b</t>
  </si>
  <si>
    <t>9257009c</t>
  </si>
  <si>
    <t>92570292022/23</t>
  </si>
  <si>
    <t>9257029</t>
  </si>
  <si>
    <t>9257029a</t>
  </si>
  <si>
    <t>9257029b</t>
  </si>
  <si>
    <t>9257029c</t>
  </si>
  <si>
    <t>92570322022/23</t>
  </si>
  <si>
    <t>9257032</t>
  </si>
  <si>
    <t>9257032a</t>
  </si>
  <si>
    <t>9257032b</t>
  </si>
  <si>
    <t>9257032c</t>
  </si>
  <si>
    <t>92570302022/23</t>
  </si>
  <si>
    <t>9257030</t>
  </si>
  <si>
    <t>9257030a</t>
  </si>
  <si>
    <t>9257030b</t>
  </si>
  <si>
    <t>9257030c</t>
  </si>
  <si>
    <t>92570282022/23</t>
  </si>
  <si>
    <t>9257028</t>
  </si>
  <si>
    <t>9257028a</t>
  </si>
  <si>
    <t>9257028b</t>
  </si>
  <si>
    <t>9257028c</t>
  </si>
  <si>
    <t>92570212022/23</t>
  </si>
  <si>
    <t>9257021</t>
  </si>
  <si>
    <t>9257021a</t>
  </si>
  <si>
    <t>9257021b</t>
  </si>
  <si>
    <t>9257021c</t>
  </si>
  <si>
    <t>92570152022/23</t>
  </si>
  <si>
    <t>9257015</t>
  </si>
  <si>
    <t>9257015a</t>
  </si>
  <si>
    <t>9257015b</t>
  </si>
  <si>
    <t>9257015c</t>
  </si>
  <si>
    <t>92570162022/23</t>
  </si>
  <si>
    <t>9257016</t>
  </si>
  <si>
    <t>9257016a</t>
  </si>
  <si>
    <t>9257016b</t>
  </si>
  <si>
    <t>9257016c</t>
  </si>
  <si>
    <t>92570102021/22</t>
  </si>
  <si>
    <t>92570052021/22</t>
  </si>
  <si>
    <t>92570252021/22</t>
  </si>
  <si>
    <t>92570112022/23</t>
  </si>
  <si>
    <t>92570242021/22</t>
  </si>
  <si>
    <t>92570312021/22</t>
  </si>
  <si>
    <t>92570332021/22</t>
  </si>
  <si>
    <t>92570082021/22</t>
  </si>
  <si>
    <t>92570342021/22</t>
  </si>
  <si>
    <t>92570022021/22</t>
  </si>
  <si>
    <t>92570092021/22</t>
  </si>
  <si>
    <t>92570292021/22</t>
  </si>
  <si>
    <t>92570322021/22</t>
  </si>
  <si>
    <t>92570302021/22</t>
  </si>
  <si>
    <t>92570282021/22</t>
  </si>
  <si>
    <t>92570212021/22</t>
  </si>
  <si>
    <t>92570152021/22</t>
  </si>
  <si>
    <t>92570162021/22</t>
  </si>
  <si>
    <t>23/24 Revised Band Values (Inc 3%)</t>
  </si>
  <si>
    <t>2024/25</t>
  </si>
  <si>
    <t>Top-up Requirement (LC1454)</t>
  </si>
  <si>
    <t>Place Funding Requirement (LC3670)</t>
  </si>
  <si>
    <t>2023/24 Comparison</t>
  </si>
  <si>
    <t>BEA</t>
  </si>
  <si>
    <t>2024/25 MFG Protection</t>
  </si>
  <si>
    <t>2023/24 Protection Level</t>
  </si>
  <si>
    <t>B/F from 2023/24</t>
  </si>
  <si>
    <t>2023/24 Allocation</t>
  </si>
  <si>
    <t>FSM taken as at Oct 23</t>
  </si>
  <si>
    <t>2024/25 School Size Threshold</t>
  </si>
  <si>
    <t>24/25 Portage Approach</t>
  </si>
  <si>
    <t>24/25 Outreach Funding</t>
  </si>
  <si>
    <t xml:space="preserve">24/25 Residential Funding </t>
  </si>
  <si>
    <t>Commissioned Arrangements - Overview</t>
  </si>
  <si>
    <t>2024/25 Budget Share Calculations</t>
  </si>
  <si>
    <t>April 24 - August 24 (Pre-16)</t>
  </si>
  <si>
    <t>April 24 - July 24 (Post-16)</t>
  </si>
  <si>
    <t>September 24 - March 25 (Pre-16)</t>
  </si>
  <si>
    <t>August 24 - March 25 (Post-16)</t>
  </si>
  <si>
    <t>Numbers agreed as per Nov 23 ESFA return</t>
  </si>
  <si>
    <t>24/25 Band Profiles</t>
  </si>
  <si>
    <t>24/25</t>
  </si>
  <si>
    <t>23/24 Funded</t>
  </si>
  <si>
    <t>This provides the detail behind the Special Schools funding formula for 2024/25. It includes the following:</t>
  </si>
  <si>
    <t>* The agreed 2024/25 top up rate;</t>
  </si>
  <si>
    <t>* 2024/25 Indicative place-led and top up funding;</t>
  </si>
  <si>
    <t>* 2023/24 and 2024/25 calculated special schools funding using Lincolnshire's agreed funding formula;</t>
  </si>
  <si>
    <t>* The local protection determines any funding protection for bands A - F pupils in 2024/25.</t>
  </si>
  <si>
    <t>2024/25 Funding</t>
  </si>
  <si>
    <t>Average 2024/25</t>
  </si>
  <si>
    <t>Monetary Local Protection Funding adjustment for 2024/25</t>
  </si>
  <si>
    <t>2024/25 Final Indicative Budget Share</t>
  </si>
  <si>
    <t>Pre-16: April 24 - August 24</t>
  </si>
  <si>
    <t>Pre-16: September 24 - March 25</t>
  </si>
  <si>
    <t>Post-16: April 24 - July 24</t>
  </si>
  <si>
    <t>Post-16: August 24 - March 25</t>
  </si>
  <si>
    <t>Special Schools Funding Formula 2024/25</t>
  </si>
  <si>
    <t>Individual Schools Budget - 2024/25</t>
  </si>
  <si>
    <t>April 24- August 24: Pre-16 Places</t>
  </si>
  <si>
    <t>September 24 - March 25:  Pre-16 Places</t>
  </si>
  <si>
    <t>April 24 - July 24: Post-16 Places</t>
  </si>
  <si>
    <t>August 24 - March 25: Post-16 Places</t>
  </si>
  <si>
    <t>Agreed 2024/25 Top up Funding Rate</t>
  </si>
  <si>
    <t>April 24 - August 24: Indicative Pre-16 Top up Funding</t>
  </si>
  <si>
    <t>September 24 - March 25: Indicative Pre-16 Top up Funding</t>
  </si>
  <si>
    <t>April 24 - July 24: Indicative Post-16 Top up Funding</t>
  </si>
  <si>
    <t>August 24 - March 25: Indicative Post-16 Top up Funding</t>
  </si>
  <si>
    <t>2024/25 Indicative Place-led and Top-up Funding</t>
  </si>
  <si>
    <t>2024/25 Local Protection Calculation</t>
  </si>
  <si>
    <t>2024/25 Agreed Places</t>
  </si>
  <si>
    <t>2024/25 Protected Places</t>
  </si>
  <si>
    <t>2023/24 Protection Per Place</t>
  </si>
  <si>
    <t xml:space="preserve">2024/25 Funding Per Protected Place </t>
  </si>
  <si>
    <t>2024/25 Protection Funding</t>
  </si>
  <si>
    <t>SUPERANNUATION RATE 24.1% AS FROM 01/04/2023</t>
  </si>
  <si>
    <t>LCC APT&amp;C SALARY SCALES 2023-24</t>
  </si>
  <si>
    <t>NATIONAL INSURANCE RATES AS FROM 01/04/2023</t>
  </si>
  <si>
    <t>PAY INCREASES FROM 01/04/2023</t>
  </si>
  <si>
    <t>NI RATES (W.E.F. 01/04/2023)</t>
  </si>
  <si>
    <t xml:space="preserve"> SUPER = 24.1% (W.E.F. 01/04/2023)</t>
  </si>
  <si>
    <t>24/25 TA Rate</t>
  </si>
  <si>
    <t>24/25 Teacher Rate</t>
  </si>
  <si>
    <t>24/25 MDS Rate</t>
  </si>
  <si>
    <t>Band</t>
  </si>
  <si>
    <t>24/25 Band Value</t>
  </si>
  <si>
    <t>24/25 Band Value % Increase</t>
  </si>
  <si>
    <t xml:space="preserve">SALARY SCALES </t>
  </si>
  <si>
    <t>LINCOLN</t>
  </si>
  <si>
    <t>LCC APT&amp;C SALARY SCALES 2023/24</t>
  </si>
  <si>
    <t>£1,925 or 3.88% PAY INCREASE FOR ALL SCP for April 23 (3.88% for SCP33 and above)</t>
  </si>
  <si>
    <t>SUPER = 24.1% (W.E.F 01/04/23)</t>
  </si>
  <si>
    <t>BAL @</t>
  </si>
  <si>
    <t xml:space="preserve">       GRADE</t>
  </si>
  <si>
    <t xml:space="preserve">  G1</t>
  </si>
  <si>
    <t>LC01</t>
  </si>
  <si>
    <t>LC02</t>
  </si>
  <si>
    <t>G2</t>
  </si>
  <si>
    <t>LC03</t>
  </si>
  <si>
    <t>LC04</t>
  </si>
  <si>
    <t>LC05</t>
  </si>
  <si>
    <t>G3</t>
  </si>
  <si>
    <t>LC06</t>
  </si>
  <si>
    <t>LC07</t>
  </si>
  <si>
    <t>LC08</t>
  </si>
  <si>
    <t>G4</t>
  </si>
  <si>
    <t>LC09</t>
  </si>
  <si>
    <t>LC10</t>
  </si>
  <si>
    <t>LC11</t>
  </si>
  <si>
    <t>G5</t>
  </si>
  <si>
    <t>LC12</t>
  </si>
  <si>
    <t>LC13</t>
  </si>
  <si>
    <t>LC14</t>
  </si>
  <si>
    <t>G6</t>
  </si>
  <si>
    <t>LC15</t>
  </si>
  <si>
    <t>LC16</t>
  </si>
  <si>
    <t>LC17</t>
  </si>
  <si>
    <t>G7</t>
  </si>
  <si>
    <t>LC18</t>
  </si>
  <si>
    <t>LC19</t>
  </si>
  <si>
    <t>LC20</t>
  </si>
  <si>
    <t>G8</t>
  </si>
  <si>
    <t>LC21</t>
  </si>
  <si>
    <t>LC22</t>
  </si>
  <si>
    <t>LC23</t>
  </si>
  <si>
    <t>G9</t>
  </si>
  <si>
    <t>LC24</t>
  </si>
  <si>
    <t>LC25</t>
  </si>
  <si>
    <t>LC26</t>
  </si>
  <si>
    <t>G10</t>
  </si>
  <si>
    <t>LC27</t>
  </si>
  <si>
    <t>LC28</t>
  </si>
  <si>
    <t>LC29</t>
  </si>
  <si>
    <t>G11</t>
  </si>
  <si>
    <t>LC30</t>
  </si>
  <si>
    <t>LC31</t>
  </si>
  <si>
    <t>LC32</t>
  </si>
  <si>
    <t>G12</t>
  </si>
  <si>
    <t>LC33</t>
  </si>
  <si>
    <t>LC34</t>
  </si>
  <si>
    <t>LC35</t>
  </si>
  <si>
    <t>G13</t>
  </si>
  <si>
    <t>LC36</t>
  </si>
  <si>
    <t>LC37</t>
  </si>
  <si>
    <t>LC38</t>
  </si>
  <si>
    <t>G14</t>
  </si>
  <si>
    <t>LC39</t>
  </si>
  <si>
    <t>LC40</t>
  </si>
  <si>
    <t>LC41</t>
  </si>
  <si>
    <t>G15</t>
  </si>
  <si>
    <t>LC42</t>
  </si>
  <si>
    <t>LC43</t>
  </si>
  <si>
    <t>LC44</t>
  </si>
  <si>
    <t>G16</t>
  </si>
  <si>
    <t>LC45</t>
  </si>
  <si>
    <t>LC46</t>
  </si>
  <si>
    <t>LC47</t>
  </si>
  <si>
    <t>LC48</t>
  </si>
  <si>
    <t>24/25 Staffing Block</t>
  </si>
  <si>
    <t>Staffing Block consisting of the typical cost drivers:</t>
  </si>
  <si>
    <t>Group 3 PFI</t>
  </si>
  <si>
    <t>Group 4 PFI</t>
  </si>
  <si>
    <t>Group 5 PFI</t>
  </si>
  <si>
    <t>Leadership / Management</t>
  </si>
  <si>
    <t>TLR Payments</t>
  </si>
  <si>
    <t>Updated with Apr 23 payscales</t>
  </si>
  <si>
    <t>School Business Manager / Bursar</t>
  </si>
  <si>
    <t>Site Manager / Caretaker</t>
  </si>
  <si>
    <t>Increased to G7 role (updated pay scales)</t>
  </si>
  <si>
    <t>Cleaners</t>
  </si>
  <si>
    <t>Clerk to Governor</t>
  </si>
  <si>
    <t>Administrator</t>
  </si>
  <si>
    <t>Cook</t>
  </si>
  <si>
    <t>Catering Assistant</t>
  </si>
  <si>
    <t>Intervention Officer (TA SCP 15)</t>
  </si>
  <si>
    <t>Safeguarding Lead</t>
  </si>
  <si>
    <t>Increase</t>
  </si>
  <si>
    <t>New role (not included)</t>
  </si>
  <si>
    <t>Updated with Sep 22 payscales</t>
  </si>
  <si>
    <t>G1 SCP 3 (updated pay scales), discounts pension</t>
  </si>
  <si>
    <t>Updated with Apr 23 payscales, discounts pension</t>
  </si>
  <si>
    <t>Relates to potential hardship claim for St Francis</t>
  </si>
  <si>
    <t>24/25 Non-Staffing Block Increases</t>
  </si>
  <si>
    <t>Non-Staffing Block consisting of the typical cost drivers:</t>
  </si>
  <si>
    <t>Main Buyback (Finance / HR / Payroll / I.T)</t>
  </si>
  <si>
    <t xml:space="preserve"> Other Buybacks (Insurances / Licences / R&amp;M)</t>
  </si>
  <si>
    <t>Outdoor &amp; Grounds Maintenance</t>
  </si>
  <si>
    <t>Refuse Collection</t>
  </si>
  <si>
    <t>Cleaning Materials</t>
  </si>
  <si>
    <t>Admin Supplies</t>
  </si>
  <si>
    <t>Telephones</t>
  </si>
  <si>
    <t>Training &amp; Development</t>
  </si>
  <si>
    <t>Educational Learning Materials</t>
  </si>
  <si>
    <t>Photocopier</t>
  </si>
  <si>
    <t>Swimming Pool</t>
  </si>
  <si>
    <t>LSN Costs Delegation</t>
  </si>
  <si>
    <t>Equipment</t>
  </si>
  <si>
    <t>Other</t>
  </si>
  <si>
    <t>3.4% 2024/25</t>
  </si>
  <si>
    <t>Mainstream Rate is £490 p.a.</t>
  </si>
  <si>
    <t>Percentage of Pupils Eligible for FSM</t>
  </si>
  <si>
    <t>Count of Pupils On Roll Aged 4-15</t>
  </si>
  <si>
    <t>Count of Pupils Aged 4-15 Eligible for FSM</t>
  </si>
  <si>
    <t>Percentage of Pupils Aged 4-15 Eligible for FSM</t>
  </si>
  <si>
    <t>Count of Meals taken on Census day 5th October 2023</t>
  </si>
  <si>
    <t>Priory School (Spalding) (Spalding Tulip Academy)</t>
  </si>
  <si>
    <t>Boston Endeavour Academy</t>
  </si>
  <si>
    <t>Allocations include 1.4% increase to all factors except Utilities, which has had an increase in line with economic conditions</t>
  </si>
  <si>
    <t>2024-2025 Agreed Academic Year Place Nos</t>
  </si>
  <si>
    <t>2023-24 Funding Per Place</t>
  </si>
  <si>
    <t>Water</t>
  </si>
  <si>
    <t>Incorporates 'other' funding</t>
  </si>
  <si>
    <t>Electricity</t>
  </si>
  <si>
    <t>Gas / Oil</t>
  </si>
  <si>
    <t>Figures added as per MP e-mail 11/2/24</t>
  </si>
  <si>
    <t>Figures built into energy lines</t>
  </si>
  <si>
    <t>PFI Staffing Block</t>
  </si>
  <si>
    <t>Less of 3.4%</t>
  </si>
  <si>
    <t>Re-org funding</t>
  </si>
  <si>
    <t>Cost increase</t>
  </si>
  <si>
    <t>Places (and Group sizes £0.308m)</t>
  </si>
  <si>
    <t>Band Profiles</t>
  </si>
  <si>
    <t>Banded funding</t>
  </si>
  <si>
    <t>Staffing block</t>
  </si>
  <si>
    <t>Non-Staffing block</t>
  </si>
  <si>
    <t>Removal of 3.4%</t>
  </si>
  <si>
    <t>Net change</t>
  </si>
  <si>
    <t>Other Factors (V5: PFI: £48,729; FSM £71,797; OLEA - £4,661). (V6: £381,390 (diff. V5) - £234,328 = £147,062</t>
  </si>
  <si>
    <t>Removal of 3.4% from main budget</t>
  </si>
  <si>
    <t>3.4% cost increase</t>
  </si>
  <si>
    <t>SEND - Re-org - reserve</t>
  </si>
  <si>
    <t>Agreed 2024/25 Place Numbers</t>
  </si>
  <si>
    <t>2024/25 Places</t>
  </si>
  <si>
    <t>2024/25 Places (less Band G)</t>
  </si>
  <si>
    <t xml:space="preserve">2023/24 Places Funded </t>
  </si>
  <si>
    <t>2024/25 Total Funding</t>
  </si>
  <si>
    <t>2023/24 to 2024/25 Percentage Funding Increase</t>
  </si>
  <si>
    <t>Banding</t>
  </si>
  <si>
    <t>Split Site</t>
  </si>
  <si>
    <t>3.4% Adjustment</t>
  </si>
  <si>
    <t>DfE MFG Assessment (3%)</t>
  </si>
  <si>
    <t>2023/24 Application</t>
  </si>
  <si>
    <t>Place Numbers</t>
  </si>
  <si>
    <t>Block funding</t>
  </si>
  <si>
    <t>FSM Funding</t>
  </si>
  <si>
    <t>MFG</t>
  </si>
  <si>
    <t>Total Funding V3</t>
  </si>
  <si>
    <t>Top Up Funding</t>
  </si>
  <si>
    <t>Ave Place cost</t>
  </si>
  <si>
    <t>Pay &amp; Pension Grant</t>
  </si>
  <si>
    <t>Total Excl. PPG *</t>
  </si>
  <si>
    <t>% Increase</t>
  </si>
  <si>
    <t>Total Excl. PPG</t>
  </si>
  <si>
    <t>Tulip Academy</t>
  </si>
  <si>
    <t>Steps</t>
  </si>
  <si>
    <t>using 2021/22 agreed funding level to establish the baseline of overall quantum.</t>
  </si>
  <si>
    <t>using 2023/24 band values and criteria's but using 2021/22 data (e.g. place numbers, band profiles) to determine over budget quantum.</t>
  </si>
  <si>
    <t>Deduct the teachers' pay and pension grant added to the formula.</t>
  </si>
  <si>
    <t>Determine if the 3% growth in overall quantum has been achieved. Column AM - AN.</t>
  </si>
  <si>
    <t>* Pay and Pension grant: since it was added into the band rates and staffing block, the subsequent increases in funding in funding will be applied including that baseline, as will increases in place numbers and band changes. Essentially, school will be beneficting from this rather than a fixed allocation outside of the formula.</t>
  </si>
  <si>
    <t>DL: Tulip school will need to be considered</t>
  </si>
  <si>
    <t>DL: how this will presentially be provided.</t>
  </si>
  <si>
    <t>DL: to note any changes and rounding's you have applied for 2023/24 that need reflecting here</t>
  </si>
  <si>
    <r>
      <t>Extracts from Hign Needs Guidance 2023/24 - for compliance:</t>
    </r>
    <r>
      <rPr>
        <sz val="11"/>
        <rFont val="Arial"/>
        <family val="2"/>
      </rPr>
      <t xml:space="preserve"> </t>
    </r>
    <r>
      <rPr>
        <i/>
        <sz val="11"/>
        <rFont val="Arial"/>
        <family val="2"/>
      </rPr>
      <t>Annex 1 and 16.2of guidance</t>
    </r>
  </si>
  <si>
    <t>MFG changing to +3% comparing 2021/22 funding levels to 2023/24. The top-up funding must be set at a rate to ensure a school’s total budget is 3% higher per pupil than in 2021 to 2022.</t>
  </si>
  <si>
    <r>
      <t xml:space="preserve">For 2023/24 this will be 3% over 2 years, based on a </t>
    </r>
    <r>
      <rPr>
        <b/>
        <sz val="11"/>
        <color rgb="FF0B0C0C"/>
        <rFont val="Arial"/>
        <family val="2"/>
      </rPr>
      <t>like-for-like comparison</t>
    </r>
    <r>
      <rPr>
        <sz val="11"/>
        <color rgb="FF0B0C0C"/>
        <rFont val="Arial"/>
        <family val="2"/>
      </rPr>
      <t xml:space="preserve"> with a special school’s </t>
    </r>
    <r>
      <rPr>
        <b/>
        <sz val="11"/>
        <color rgb="FF0B0C0C"/>
        <rFont val="Arial"/>
        <family val="2"/>
      </rPr>
      <t>overall budget</t>
    </r>
    <r>
      <rPr>
        <sz val="11"/>
        <color rgb="FF0B0C0C"/>
        <rFont val="Arial"/>
        <family val="2"/>
      </rPr>
      <t xml:space="preserve"> in 2021 to 2022. </t>
    </r>
  </si>
  <si>
    <t>The decision takes into account the additional high needs funding that local authorities are receiving in 2022 to 2023 and 2023 to 2024, some of which is intended to help with the additional costs that schools are facing.</t>
  </si>
  <si>
    <t>This is to reflect that a proportion of the increased funding received by local authorities over the 2 years, (2022 to 2023 and 2023 to 2024) must be passed on to schools in 2023 to 2024</t>
  </si>
  <si>
    <t>The additional funding allocations referred to above must be excluded from the MFG calculations, so that schools receive both the 3% MFG increase over 2 years and the additional 3.4% in 2023 to 2024.</t>
  </si>
  <si>
    <r>
      <t>In 2023 to 2024, as in previous years, the MFG for special schools and academies will apply to their</t>
    </r>
    <r>
      <rPr>
        <b/>
        <sz val="11"/>
        <color rgb="FF0B0C0C"/>
        <rFont val="Arial"/>
        <family val="2"/>
      </rPr>
      <t xml:space="preserve"> combined place and top-up funding</t>
    </r>
    <r>
      <rPr>
        <sz val="11"/>
        <color rgb="FF0B0C0C"/>
        <rFont val="Arial"/>
        <family val="2"/>
      </rPr>
      <t xml:space="preserve"> on a per pupil basis, </t>
    </r>
    <r>
      <rPr>
        <b/>
        <sz val="11"/>
        <color rgb="FF0B0C0C"/>
        <rFont val="Arial"/>
        <family val="2"/>
      </rPr>
      <t>assuming the number and type of places remains the same</t>
    </r>
    <r>
      <rPr>
        <sz val="11"/>
        <color rgb="FF0B0C0C"/>
        <rFont val="Arial"/>
        <family val="2"/>
      </rPr>
      <t>.</t>
    </r>
  </si>
  <si>
    <t>High needs funding that the school receives in place of the TPG, the TPECG, and the pensions supplementary fund, should be excluded from the MFG calculation.</t>
  </si>
  <si>
    <t>2021/22 place numbers across the bands is considered a baseline and the same number of places, pupils and levels of need should be used for 2023 to 2024.</t>
  </si>
  <si>
    <t>The calculation then highlights the impact of any proposed changes to the top-up funding rates, assuming the school is offering the same level of provision.</t>
  </si>
  <si>
    <t>Increase in band funding</t>
  </si>
  <si>
    <t>1. 2023/24 Protected Places:  School band profile. This compares the breakdown of 2023/24 protected places and the 2024/25 agreed places across the 7 bands. Protected places are the lower of the two years band pupil numbers between 2023/24 and 2024/25, e.g. protection of existing pupils with the same needs still within the school. As the calculation excludes Band G, the difference between Band G placements in 2023/24 compared to 2024/25 (cell M8) has not been stated.</t>
  </si>
  <si>
    <t>2. The brought forward monetary protection per place from 2023/24 (if applicable).</t>
  </si>
  <si>
    <t>6. 2024/25 Protection Entitlement. This shows the agreed level of local protection for the 2024/25 budget share.</t>
  </si>
  <si>
    <t xml:space="preserve">1. 2023/24 Place numbers and school band profile: this states the 2023/24 agreed place numbers, broken down across the 7 bands. </t>
  </si>
  <si>
    <t>2. 2023/24 Funding Breakdown: this provides the breakdown of 2023/24 schools total funding across the various formula factors: Band Funding, Block Funding, Free School Meals and Local Protection arrangement. The teachers’ pay and pension funding devolved through the formula in 2023/24 is referred.</t>
  </si>
  <si>
    <t>3. 2024/25 Funding Breakdown: this provides the breakdown of 2024/25 schools total funding across the various formula factors: Band Funding, Block Funding, Free School Meals, and Local Protection arrangement. The teachers’ pay and pension funding devolved through the formula in 2024/25 is referred. This has been calculated on the assumption that place numbers and band profiles have remained the same as in 2023/24 but using 2024/25 formula factor values, as per the DfE guidance.</t>
  </si>
  <si>
    <t xml:space="preserve">4. 2023/24 Total Funding: this details the published total budget shares funding for the school in 2023/24, excluding any teachers’ pay and pension allocations as per the DfE guidance. </t>
  </si>
  <si>
    <t xml:space="preserve">5. 2024/25 Total Funding: this details the total budget shares funding for the school on the assumption that place numbers and band profiles have remained the same as in 2023/24 but using 2024/25 formula factor values, as per the DfE (i.e. a like-for-like comparison with the 2023/24 financial year). This also excludes any teacher's pay and pension allocations as per the DfE guidance. </t>
  </si>
  <si>
    <t>* The DfE minimum funding guarantee check to compare 2023/24 funding levels to 2024/25</t>
  </si>
  <si>
    <t>* Commissioned Funding (namely, Outreach and Portage).</t>
  </si>
  <si>
    <t>1. The DfE School Funding Reforms that were implemented in 2013/14 changed the presentation of how special schools were funded, namely through a ‘place-plus’ approach, i.e. special schools will receive a base level of funding of £10,000 per planned place for their provision of pre-16 and post-16 pupils. Place funding for the following academic year would typically reflect the latest Autumn numbers / places, therefore a lagged funding system exists. Where a special school encounters a change in pupil numbers, the in-year adjustments process that is undertaken on a termly basis for commissioned place funding or top up funding adjustments will need consideration by the school.
• The place numbers for pre and post-16 fund the following periods for the financial year 2024/25:
- AY 2023/24 places: pre-16 (April 24 - August 24) and post-16 (April 24 - July 24);
- AY 2024/25 places: pre-16 (September 24 - March 25) and post-16 (August 24 - March 25).</t>
  </si>
  <si>
    <t>2. Total Place-led funding is reviewed on an annual basis. The place-led funding does not follow the pupil (like top up funding), therefore this place funding provides an element of financial stability to the school for the financial year 2024/25. This place-led funding will not be withdrawn from schools in the financial year. Place numbers used align to the place numbers agreed with schools when calculating the banded funding.</t>
  </si>
  <si>
    <t>8. The 2024/25 Total Indicative place-led and top up funding. This aligns to 'Funding Summary' tab Note 10.</t>
  </si>
  <si>
    <t xml:space="preserve">1. Lincolnshire's special schools 2023/24 funding formula allocations by each formula factor (based on the schools published indicative budget for 2023/24). </t>
  </si>
  <si>
    <t>3. Indicative 2024/25 place and top up funding based on Lincolnshire's special schools formula. The format is required to determine whether the school is entitled to a per pupil local funding protection.</t>
  </si>
  <si>
    <t xml:space="preserve">4. Number on Roll: the Average Number / Places agreed across the financial year that have been agreed with the special school. The 2024/25 indicative funding uses the following place numbers: April 24 - August 24 (AY 2023/24 brought forward places) and September 24 - March 25 (AY 2024/25 agreed places). </t>
  </si>
  <si>
    <t xml:space="preserve">8. School Band Descriptor Profile: the schools percentage banding profile across the seven band descriptors. Latest pupil data has been updated to ensure that every pupil who has had a place agreed for the 2024/25 AY, including having an associated band attributed to them. </t>
  </si>
  <si>
    <t>15. Portage (commissioned arrangements): A Memorandum of Understanding was established between the commissioned schools and Local Authority outlining the desired outcomes from this funding. From 1st April 2024 Portage will be moving to a single lead provider on behalf of a collaboration of schools (which will be Lincolnshire Wolds Federation).  Agreement was for an initial period of 3 years with the option to extend for a further 2 years.</t>
  </si>
  <si>
    <t xml:space="preserve">16. Outreach (commissioned arrangements): The current outreach arrangements for Physical Difficulties and Autism and learning difficulties (ALD) are due to end in August 2025 (with an option to extend for a further two years i.e. August 2027). Funding allocations are therefore in place for the period April 2023 - March 2024. </t>
  </si>
  <si>
    <t>17. Total Other Special Schools Funding Arrangements: the total funding relating to site factor arrangements and commissioned functions (notes: 13 to 16).</t>
  </si>
  <si>
    <t>12. Commissioned services outside of the place-led and top up funding (i.e. outside of the main special schools funding formula). Please refer to the 'Funding Summary' tab (notes 13-16) for further detail of those other special school funding streams.</t>
  </si>
  <si>
    <t>13. The 2024/25 Final Indicative Budget Share including the Total Indicative Funding plus the Commissioned Arrangements. This aligns to the 'Funding Summary' tab (note 18)</t>
  </si>
  <si>
    <t xml:space="preserve">19. Pre-16 Places: agreed number of school places for pre-16 provision. The 2024/25 indicative funding uses the following place numbers: April 24 - August 24 (AY 2023/24 brought forward places) and September 24 - March 25 (AY 2024/25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</si>
  <si>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20. Post-16 Places: agreed number of school places for post-16 provision. The periods of funding are as follow: April 24 - July 24 (AY 2023/24 brought forward places), and August 24 - March 25 (AY 2024/25 agreed places). The in-year adjustments process follows the same principle as pre-16 places (see note: 19).</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</si>
  <si>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2024/25, the key cost drivers for both staffing and non-staffing have been updated, along with the group size thresholds (see note 22).</t>
  </si>
  <si>
    <t>Continuation of DfE High Needs Additional Funding</t>
  </si>
  <si>
    <t>Total Indicative Funding (including DfE Additional Funding)</t>
  </si>
  <si>
    <t>12. Total Indicative Funding (including DfE Additional Funding): Indicative Place and Top-up Funding (10) plus the continuation of DfE High Needs Additional Funding (11).</t>
  </si>
  <si>
    <t>2024/25 Application (see Special Schools 2024-25 v8b MFG Adjustments)</t>
  </si>
  <si>
    <t>DfE Minimum Funding Guarantee: ensuring a +0% increase in funding levels from 2023/24 to 2024/25</t>
  </si>
  <si>
    <t>The DfE Minimum Funding Guarantee (MFG) is +0% comparing 2023/24 funding levels to 2024/25. This is to be based on a like-for-like comparison with a special school’s overall budget in 2023/24. Using the 2024/25 formula factor values and 2023/24 pupil data, the total budget is required to increase by +0%. The following assesses this treatment.</t>
  </si>
  <si>
    <t>6. 2023/24 to 2024/25 Percentage Funding Increase: this compares the level of total funding the school received in 2023/24 (Note 4) against what a school would have received in 2024/25 (Note 5) if the place numbers and band profile had remained the same (i.e. comparing on a like-with-like basis). This ensures that the 2024/25 formula satisfies the DfE's requirements that each special school receives an increase of at least +0% from 2023/24 total funding levels. The continuation of the High Needs additional funding is treated outside of this MFG calculation.</t>
  </si>
  <si>
    <t>3. The band value changes represents the difference between the 2023/24 band values and the 2024/25 band values. This excludes the DfE (DSG Condition) requirement to fund the same place amount as in 2023/24, determined through the continuation of the High Needs additional funding.</t>
  </si>
  <si>
    <t>Pass or Fail ~ 0%</t>
  </si>
  <si>
    <t>* Identifies a schools total indicative budget share for 2024/25 including the continuation of the DfE High Needs additional funding, and those commissioned functions.</t>
  </si>
  <si>
    <t>* Continuation of the DfE High Needs Additional Funding</t>
  </si>
  <si>
    <r>
      <t xml:space="preserve">
</t>
    </r>
    <r>
      <rPr>
        <b/>
        <sz val="12"/>
        <rFont val="Calibri"/>
        <family val="2"/>
        <scheme val="minor"/>
      </rPr>
      <t>FINANCIAL YEAR 2024/25</t>
    </r>
    <r>
      <rPr>
        <sz val="12"/>
        <rFont val="Calibri"/>
        <family val="2"/>
        <scheme val="minor"/>
      </rPr>
      <t xml:space="preserve">
</t>
    </r>
    <r>
      <rPr>
        <b/>
        <sz val="12"/>
        <rFont val="Calibri"/>
        <family val="2"/>
        <scheme val="minor"/>
      </rPr>
      <t>DISTRIBUTION OF THE INDIVIDUAL SCHOOLS BUDGET</t>
    </r>
    <r>
      <rPr>
        <sz val="12"/>
        <rFont val="Calibri"/>
        <family val="2"/>
        <scheme val="minor"/>
      </rPr>
      <t xml:space="preserve">
</t>
    </r>
    <r>
      <rPr>
        <b/>
        <sz val="12"/>
        <rFont val="Calibri"/>
        <family val="2"/>
        <scheme val="minor"/>
      </rPr>
      <t>SPECIAL SCHOOLS</t>
    </r>
    <r>
      <rPr>
        <sz val="12"/>
        <rFont val="Calibri"/>
        <family val="2"/>
        <scheme val="minor"/>
      </rPr>
      <t xml:space="preserve">
Special schools continue to be funded through Lincolnshire's funding formula that was originally implemented in 2011/12. The LA introduced funding changes in 2018/19 to ensure the appropriate level of resources continue to meet the needs of its pupils in the changing demographics of Lincolnshire special schools. These changes updated bands for the pupils at each school (in line with November 2023 class lists). The fundamental principles and formula for funding special schools continue to remain strong and fit for purpose, and are adaptable to the changing landscape of pupil needs. 
Lincolnshire's special schools funding formula identifies an indicative budget share, which is then presented into the DfE's place and top up arrangements. This will include the agreed band percentage profiles as a result of the revised pupil bands that were updated in November 2023. 
For 2024/25 Lincolnshire’s special schools funding formula has been updated to incorporate increases in funding made in response to special schools increasing costs. This includes an average increase of 2.98% across all band values, updated staffing block allocations to take account of the latest 23/24 pay scales, and a 1.4% increase on all non-staffing cost drivers (additional increases have been applied to energy and broadband to reflect the current economic conditions).  Budget sustainability is important for the sector and the Local Authority is acutely aware of the rising costs faced by schools. 
To further support costs in 2024/25, Local Authorities are required to continue allocating an amount that is equivalent to 3.4% of the estimated total grant funding of the school. The determination of the total grant value is based on the 2024/25 agreed place numbers and average 2022/23 funding  per place value (including in-year supplementary funding allocated). Split site funding, if applicable is also considered within the total grant funding. Schools can forecast to see this funding in future years, for financial planning purposes. For 2024/25, Local Authorities must separately identify these allocations i.e. outside the schools core funding (place and top-up). 
In 2024/25, the DfE Minimum Funding Guarantee (MFG) is +0% comparing 2023/24 funding levels to 2024/25. This is to be based on a like-for-like comparison with a special school’s overall budget in 2023/24. Using the 2024/25 formula factor values and 2023/24 pupil data, the total budget is required to increase by +0% from the published 2023/24 funding levels. The DfE High Needs additional funding allocation is treated outside of this MFG calculation. All special schools passed this test.
The DfE require special schools to be funded through a ‘place-plus’ approach from the higher needs block within the Dedicated Schools Grant (DSG).  Special schools will receive a base level of funding of £10,000 per planned place for their provision, plus top up funding that is derived from Lincolnshire's agreed funding formula.
</t>
    </r>
    <r>
      <rPr>
        <b/>
        <sz val="12"/>
        <rFont val="Calibri"/>
        <family val="2"/>
        <scheme val="minor"/>
      </rPr>
      <t>Place-Led Funding</t>
    </r>
    <r>
      <rPr>
        <sz val="12"/>
        <rFont val="Calibri"/>
        <family val="2"/>
        <scheme val="minor"/>
      </rPr>
      <t xml:space="preserve">
The Education and Skills Funding Agency (ESFA) has simplified the places approach by moving to a lagged funding system i.e. place funding for the following academic year would typically reflect the latest autumn numbers / places. Therefore, for the 2024/25 financial year, the place numbers were agreed as part of the Autumn 2023 ESFA place return .
The place numbers for pre and post-16 fund the following periods for the financial year 2024/25:
- AY 2023/24 places: pre-16 (April 24 - August 24) and post-16 (April 24 - July 24);
- AY 2024/25 places: pre-16 (September 24 - March 25) and post-16 (August 24 - March 25).
 Place-led funding is reviewed on an annual basis. The place-led funding does not follow the pupil (like top up funding); therefore the £10,000 component provides an element of financial stability to the school for the financial year 2024/25.  This place-led funding will not be withdrawn from schools in the financial year.
</t>
    </r>
    <r>
      <rPr>
        <b/>
        <sz val="12"/>
        <rFont val="Calibri"/>
        <family val="2"/>
        <scheme val="minor"/>
      </rPr>
      <t>Top up Funding</t>
    </r>
    <r>
      <rPr>
        <sz val="12"/>
        <rFont val="Calibri"/>
        <family val="2"/>
        <scheme val="minor"/>
      </rPr>
      <t xml:space="preserve"> 
The top up funding for a school will be paid directly to the educating institution by the LA commissioner (this will usually be Lincolnshire County Council).  Top up funding will follow the child, therefore only indicative top up funding allocations can be provided to schools at the start of the financial year (in line with DfE requirements).
Each school will have a different top up rate, as this represents each school's banded profile and school's characteristics. Please see the 'Funding Summary' tab for further information. 
Where pupils are placed from other LAs, the commissioning LA will pay funding directly to the school based on Lincolnshire’s agreed values.  It is the school’s responsibility to claim this funding from the relevant LA. 
</t>
    </r>
    <r>
      <rPr>
        <b/>
        <sz val="12"/>
        <rFont val="Calibri"/>
        <family val="2"/>
        <scheme val="minor"/>
      </rPr>
      <t>Top up Funding In-Year Adjustments and Commissioned Places</t>
    </r>
    <r>
      <rPr>
        <sz val="12"/>
        <rFont val="Calibri"/>
        <family val="2"/>
        <scheme val="minor"/>
      </rPr>
      <t xml:space="preserve">
A special school’s number on roll can fluctuate during the year. The indicative top up funding assumes that the number of agreed places will be fully utilised with pupils throughout the financial year. Since the top up funding follows the child, this indicative top up funding may change.  
Through the creation of a lagged funding system (namely, places), special schools with changing pupil numbers (both downwards and upwards) will be required to use the in-year adjustments schedule within the medium-term finance plan to understand the funding implications. 
The LA has a system in place that is responsive to provide sufficient funding to enable schools to meet the child’s needs (marginal costs) where numbers increase above the agreed places. Where the number of placement weeks exceeds the indicative top up funding total weeks per term, the school will receive commissioned place funding for those weeks, based on the average band of the school (less Band G). 
The level of funding allocated through this route would equate to the same level of banded funding had the places been increased at the start of the year and the pupil remained at the school throughout the period. This is purely a timing difference and funding is released in the correct financial year.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the various scenarios, and schools have plans in place to respond to such challenges.  Where the number of placement weeks is lower than the indicative top up funding total weeks per term, the school will have top up funding removed for those weeks (based on the schools top up value). This will form part of the termly adjustments process. 
All special schools and special academies are required to submit a termly return detailing the number of pupils present in the school each week, which will enable the LA to adjust the total top up funding accordingly.  
Special schools funding adjustments will take place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the actual March participation will be made in the new financial year if required. 
Please see below examples:
</t>
    </r>
    <r>
      <rPr>
        <u/>
        <sz val="12"/>
        <rFont val="Calibri"/>
        <family val="2"/>
        <scheme val="minor"/>
      </rPr>
      <t xml:space="preserve">School A Example - Actual Participation is less than Indicative Participation:
</t>
    </r>
    <r>
      <rPr>
        <sz val="12"/>
        <rFont val="Calibri"/>
        <family val="2"/>
        <scheme val="minor"/>
      </rPr>
      <t xml:space="preserve">
Places  50   £500,000
Top up  £6,000   £300,000 (indicative)
If, from the first week in April, the pupil numbers fall to 49 for the summer term (i.e. 13 weeks), the following adjustment will take place for the summer term top up funding, which is processed in the Autumn term:
13 weeks x 50 pupils = 650 indicative pupil weeks (summer term)
13 weeks x 49 pupils = 637 actual pupil weeks (summer term)
Difference is 13 pupil weeks
13 (pupil weeks lost) / 38 (annual weeks) x £6,000 (top up value) = £2,053 funding reduction
School A indicative top up funding has been reduced to £297,947.
</t>
    </r>
    <r>
      <rPr>
        <u/>
        <sz val="12"/>
        <rFont val="Calibri"/>
        <family val="2"/>
        <scheme val="minor"/>
      </rPr>
      <t>School A Example – Actual Participation is higher than Indicative Participation:</t>
    </r>
    <r>
      <rPr>
        <sz val="12"/>
        <rFont val="Calibri"/>
        <family val="2"/>
        <scheme val="minor"/>
      </rPr>
      <t xml:space="preserve">
Places   50
Average Band Value £9,000 Commissioned place
If, from the first week in April, the pupil numbers increased to 52 for the summer term (i.e. 13 weeks), which is above the place funding of 50, the following budget adjustment will take place for the summer term funding, which is processed in the Autumn term:
26 (additional pupil weeks) / 38 (annual weeks) x £9,000 (commissioned place) = £6,158
School A’s funding total will increase by £6,158 above the agreed places and indicative top up funding for that term.  Note the commissioned place funding will be different for each special school.
</t>
    </r>
    <r>
      <rPr>
        <b/>
        <sz val="12"/>
        <rFont val="Calibri"/>
        <family val="2"/>
        <scheme val="minor"/>
      </rPr>
      <t>Band Profile</t>
    </r>
    <r>
      <rPr>
        <sz val="12"/>
        <rFont val="Calibri"/>
        <family val="2"/>
        <scheme val="minor"/>
      </rPr>
      <t xml:space="preserve">
A full moderation exercise of schools band profiles took place during 2017. This has now been updated in line with current class lists (as at November 2023) for the 2024/25 financial year funding.
These band classifications have been recorded against our pupil records, and will be continuously updated as a result of any further agreed changes in need.  Guidance has been distributed to assist schools in understanding the special school placement process, including details of the band descriptors, and how to request a change to a pupil band through the Annual Review meeting. To ensure pupil-led funding continues to reflect pupils needs in the school and are updated on an annual basis, a pupil data snapshot will then take place in the autumn term, which will determine the banding funding in the school for the following financial year's budget share. This is a move away from undertaking a pupil moderation process every year. 
</t>
    </r>
    <r>
      <rPr>
        <b/>
        <sz val="12"/>
        <rFont val="Calibri"/>
        <family val="2"/>
        <scheme val="minor"/>
      </rPr>
      <t>Maintained Schools’ Budget Shares</t>
    </r>
    <r>
      <rPr>
        <sz val="12"/>
        <rFont val="Calibri"/>
        <family val="2"/>
        <scheme val="minor"/>
      </rPr>
      <t xml:space="preserve">
Maintained special schools place funding will be transferred as a virement, whereas the top up element of funding will be actioned via a recharge code in monthly instalments. Any in-year adjustments will be adjusted on a termly basis to reflect pupil number changes, based on the school's completed return, (see top up section above for more information), and these will also be made via a recharge code.  Payment profiles will be issued to maintained schools in April 2024 to assist with their budget planning
</t>
    </r>
    <r>
      <rPr>
        <b/>
        <sz val="12"/>
        <rFont val="Calibri"/>
        <family val="2"/>
        <scheme val="minor"/>
      </rPr>
      <t>Special School Academies</t>
    </r>
    <r>
      <rPr>
        <sz val="12"/>
        <rFont val="Calibri"/>
        <family val="2"/>
        <scheme val="minor"/>
      </rPr>
      <t xml:space="preserve">
Special school academies will receive their place funding direct from the ESFA – this funding is recouped from Lincolnshire’s DSG.  The top up funding is paid by the commissioning LA directly to the school.  Top up allocations will be made on a monthly basis based on the school's academic year place numbers and applying a 1/12th methodology, subject to the termly reconciliation process. Payment profiles will be issued to Academies in April 2024 to assist with their budget planning.
</t>
    </r>
    <r>
      <rPr>
        <b/>
        <sz val="12"/>
        <rFont val="Calibri"/>
        <family val="2"/>
        <scheme val="minor"/>
      </rPr>
      <t>Outreach</t>
    </r>
    <r>
      <rPr>
        <sz val="12"/>
        <rFont val="Calibri"/>
        <family val="2"/>
        <scheme val="minor"/>
      </rPr>
      <t xml:space="preserve">
Contracts have been established for the two schools commissioned to undertake outreach arrangements. These run up to August 2025, with the option to extend for a further two years i.e. August 2027.
Gosberton House (Learning Difficulties) - £617,500
St Francis (Physical Difficulties) - £140,436
</t>
    </r>
    <r>
      <rPr>
        <b/>
        <sz val="12"/>
        <rFont val="Calibri"/>
        <family val="2"/>
        <scheme val="minor"/>
      </rPr>
      <t>Portage</t>
    </r>
    <r>
      <rPr>
        <sz val="12"/>
        <rFont val="Calibri"/>
        <family val="2"/>
        <scheme val="minor"/>
      </rPr>
      <t xml:space="preserve">
Portage funding from 1st April 2024 will be £370,270 and will be moving to a single lead provider on behalf of a collaboration of schools (which will be Lincolnshire Wolds Federation).  Agreement was for an initial period of 3 years with the option to extend for a further 2 years.
</t>
    </r>
  </si>
  <si>
    <t xml:space="preserve">5. Monetary Local Proection Funding adjustment for 2024/25. This value has been adjusted to reflect the local protection entitlements for Bands A - F. This compares the level of local protection funding the school received per band in 2023/24 against what they will receive in 2024/25 (i.e. band value increases are offset against the local protection). The local protection continues to be established at 0%. For local proection arrangements, schools are protected when numbers and complexity of pupil needs remains the same (i.e. comparing like-for-like), therefore comparisons have been made to each band to ensure schools subject to local protection are protected on the lower of the two years band pupil numbers between 2023/24 and 2024/25, e.g. protection of existing pupils with the same needs still within the school. </t>
  </si>
  <si>
    <t>Percentage Increase from 2023/24 funding levels (2023/24 school characteristics)</t>
  </si>
  <si>
    <t xml:space="preserve">6. Percentage increase from 2023/24 funding levels (school characteristics). This is to be based on a like-for-like comparison with a special school’s overall budget in 2023/24. Using the 2024/25 formula factor values and 2023/24 pupil data, the total budget is required to increase by +0% from the published 2023/24 funding levels. This figure shows the actual percentage increase from 2023/24 funding levels, thus proving the DfE MFG level of +0% has been satisfied. The DfE High Needs Additional Funding is treated outside of this MFG calculation.  </t>
  </si>
  <si>
    <t xml:space="preserve">10. Indicative Place and Top up Funding: 2024/25 funding inclusive of the local protection funding allocation (where applicable) based on Lincolnshire's special schools funding formula. The section provides a clear audit trail of how Lincolnshire special schools are funded through the formula factors for 2024/25, before being presented through the DfE's place and top up arrangements (based on the agreed place numbers and overall monetary value). </t>
  </si>
  <si>
    <t>18. 2024/25 Final Indicative Budget Share: Indicative 2024/25 funding (10) relating to the main special school formula factors including local protection funding where applicable, plus the continuation of DfE High Needs additional funding (11), and Other Special School funding Arrangements (17).</t>
  </si>
  <si>
    <t>21. Special school band descriptors detailing the staffing ratio's and monetary sums that determine a school banding funding and commissioned place value. The band values are based on agreed staffing to pupil ratio's. Upward funding adjustments have been made to the band values in 2024/25, which considering all bands, is an overall average increase of 2.98%.</t>
  </si>
  <si>
    <t xml:space="preserve">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 For 2024/25, the staffing cost drivers have all been increased in line with the latest 2023/24 pay scales to support the latest staff pay rises. Non-staffing cost drivers have all been increased by 1.4% to reflect increases in cost of living. Additional increases have also been applied to energy and broadband to reflect the current economic conditions.
• School size thresholds have been revised upwards for 2024/25 by 2.98% to reflect the monetary value overall increases of special school bands in 2024/25.  This is to ensure a like-for-like comparison can be applied, when determining a school size, which funds the fixed costs of a school through the staffing and non-staffing blocks. </t>
  </si>
  <si>
    <t>4. 2024/25 Funding per Band per Protected Place. This compares the level of protection funding the school received per band in 2023/24 against what they will receive in 2024/25. The local protection continues to be 0%. This local factor protection is applied to the numbers and complexity of pupil needs remaining the same (i.e. comparing like-for-like), therefore protection comparisons have been made to each band to ensure schools subject to local protection are funded on the lower of the two years band pupil numbers between 2023/24 and 2024/25, e.g. protection of existing pupils with the same needs still within the school.</t>
  </si>
  <si>
    <t>5. 2023/24 Protection Entitlement. This shows the agreed level of local protection for the 2023/24 budget share, which is presented for comparison purposes.</t>
  </si>
  <si>
    <t>TPPG</t>
  </si>
  <si>
    <t>Funding per Place</t>
  </si>
  <si>
    <t>11. Total Indicative Place &amp; Top-up Funding (including the continuation of DfE High Needs Additional Funding): Indicative Place and Top-up Funding (8) plus the continuation of DfE High Needs Additional Funding (10).</t>
  </si>
  <si>
    <t>11. Continuation of DfE High Needs Additional Funding: Local Authorities were required to allocate an amount that is equivalent to 3.4% of the total funding of the school in 2023/24. The DfE (DSG Condition) requirement is to fund the same place amount as in 2023/24. The determination of the total funding is based on the 2024/25 agreed place numbers and 2023/24 place amount through the 3.4% methodology. Schools can forecast to see this funding in future years, for financial planning purposes, since it is essentially support core education delivery. For 2024/25, Local Authorities must continue to separate out this funding stream, i.e. outside the schools core funding (place and top up).  The amount of funding per place can be seen on the Budget Shares tab.</t>
  </si>
  <si>
    <t>10. Continuation of DfE High Needs Additional Funding: Local Authorities were required to allocate an amount that is equivalent to 3.4% of the total funding of the school in 2023/24. The DfE (DSG Condition) requirement is to fund the same place amount as in 2023/24. The determination of the total funding value is based on the 2024/25 agreed place numbers and 2023/24 place amount through the 3.4% methodology. Schools can forecast to see this funding in future years, for financial planning purposes, since it is essentially to support core education delivery. For 2024/25, Local Authorities must continue to separate out this funding stream, i.e. outside the schools core funding (place and top up).  The additional funding is calculated by taking the 2023/24 agreed total academic place numbers multiplied by the funding per place (shown in cell E36) x 5/12 plus the 2024/25 agreed total academic place numbers multiplied by the funding per place x 7/12.</t>
  </si>
  <si>
    <t>Special Schools Funding - Lincolnshire Model 2024/25 - Pre &amp; Post 16 Children</t>
  </si>
  <si>
    <t xml:space="preserve">2. The basis of how special schools are to be funded: 
• The current funding formula is robust and is underpinned by key cost drivers and their costs based on theoretical school models. The Local Authority (LA) believe the underlying principles of the formula remain strong and fit for purpose, and are adaptable to the changing landscape of pupil needs. Lincolnshire’s special schools funding formula has been updated for 2024/25 to incorporate updated pay scales, which considering all bands, is an overall average increase of 2.98%, updated staffing block allocations to take account of the latest 2023/24 pay scales (6-8% increase), and a 1.4% increase on all non-staffing cost drivers (additional increases have been applied to energy and broadband to reflect the current economic conditions), increasing funding by c.8%. The underlying principles and formula factors will remain in place for 2024/25, whilst also having consideration to inflationary cost rises facing the sector. The authority will continue to keep the formula under review to maintain fairness in its distribution to reflect current needs and practices, which will support the ambitions of the sector. Engagement with the sector, including a survey, has taken place during 2023, which has helped shape the final formula refinement outcomes.  
•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(unless agreed as part of the special schools re-organisation process). Staffing block and non-staffing block allocations have both been reviewed for 2024/25 from the original 2023/24 funding baseline to recognise the additional costs schools will be incurring through staff pay increases, and general cost of living.
• Banding funding covers seven band descriptors, which support a range of pupil needs. A monetary value is attached to each band representing the staffing to pupil ratios.  Band monetary values have been updated to recognise the additional cost impact of staff pay. 
• Free School Meal entitlements are based on the count of meals taken as per the census return completed on 5th October 2023. The FSM rate includes a 1.6% increase for 2024/25 i.e. £2.58 per meal. This is in line with the mainstream rate.
• The mainstreaming of the teachers' pay and pension grants made in 2021/22 will remain within the band for 2024/25: Band A (£487); Band B (£584), Band C (£584); Band D (£730); Band E (£730), and Band F (£974). 
• The pupil band profiles have been updated and agreed with schools to reflect those pupils present at the school in November 2023, plus any additional intake due from planned re-organisations.  
• The ESFA process for agreeing place numbers is based on a lagged funding system due to ESFA timing requirements (namely, using Autumn 2023 data to influence 2024/25 academic year place numbers). The LA has undertaken this process for the 2024/25 academic year place numbers in line with the published DfE high needs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</si>
</sst>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0.0"/>
    <numFmt numFmtId="166" formatCode="&quot;£&quot;#,##0.00"/>
    <numFmt numFmtId="167" formatCode="0.0%"/>
    <numFmt numFmtId="168" formatCode="_(&quot;$&quot;* #,##0.00_);_(&quot;$&quot;* \(#,##0.00\);_(&quot;$&quot;* &quot;-&quot;??_);_(@_)"/>
    <numFmt numFmtId="169" formatCode="0_)"/>
    <numFmt numFmtId="170" formatCode="0.00_)"/>
    <numFmt numFmtId="171" formatCode="#,##0.0"/>
    <numFmt numFmtId="172" formatCode="0000"/>
    <numFmt numFmtId="173" formatCode="0.000"/>
    <numFmt numFmtId="174" formatCode="0.0000_)"/>
    <numFmt numFmtId="175" formatCode="General_)"/>
    <numFmt numFmtId="176" formatCode="_-* #,##0_-;\-* #,##0_-;_-* &quot;-&quot;??_-;_-@_-"/>
    <numFmt numFmtId="177" formatCode="0.00000000000%"/>
    <numFmt numFmtId="178" formatCode="0.0000"/>
    <numFmt numFmtId="179" formatCode="#,##0.00%"/>
    <numFmt numFmtId="180" formatCode="&quot;£&quot;#,##0.000"/>
    <numFmt numFmtId="181" formatCode="0.00000%"/>
  </numFmts>
  <fonts count="1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name val="Arial"/>
      <family val="2"/>
    </font>
    <font>
      <sz val="10"/>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b/>
      <i/>
      <sz val="10"/>
      <name val="Arial"/>
      <family val="2"/>
    </font>
    <font>
      <i/>
      <sz val="10"/>
      <name val="Arial"/>
      <family val="2"/>
    </font>
    <font>
      <sz val="11"/>
      <name val="Arial"/>
      <family val="2"/>
    </font>
    <font>
      <sz val="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sz val="12"/>
      <name val="Arial"/>
      <family val="2"/>
    </font>
    <font>
      <sz val="10"/>
      <name val="MS Sans Serif"/>
      <family val="2"/>
    </font>
    <font>
      <b/>
      <sz val="11"/>
      <name val="Arial"/>
      <family val="2"/>
    </font>
    <font>
      <sz val="12"/>
      <name val="Calibri"/>
      <family val="2"/>
    </font>
    <font>
      <sz val="10"/>
      <name val="Calibri"/>
      <family val="2"/>
    </font>
    <font>
      <sz val="8"/>
      <name val="Arial"/>
      <family val="2"/>
    </font>
    <font>
      <sz val="11"/>
      <color theme="1"/>
      <name val="Calibri"/>
      <family val="2"/>
      <scheme val="minor"/>
    </font>
    <font>
      <b/>
      <sz val="10"/>
      <color rgb="FF000000"/>
      <name val="Arial"/>
      <family val="2"/>
    </font>
    <font>
      <sz val="10"/>
      <color theme="1"/>
      <name val="Arial"/>
      <family val="2"/>
    </font>
    <font>
      <sz val="10"/>
      <color rgb="FFFF0000"/>
      <name val="Arial"/>
      <family val="2"/>
    </font>
    <font>
      <u/>
      <sz val="10"/>
      <color rgb="FFFF0000"/>
      <name val="Arial"/>
      <family val="2"/>
    </font>
    <font>
      <sz val="9"/>
      <color indexed="81"/>
      <name val="Tahoma"/>
      <family val="2"/>
    </font>
    <font>
      <b/>
      <sz val="9"/>
      <color indexed="81"/>
      <name val="Tahoma"/>
      <family val="2"/>
    </font>
    <font>
      <b/>
      <sz val="8"/>
      <color indexed="8"/>
      <name val="Arial"/>
      <family val="2"/>
    </font>
    <font>
      <sz val="8"/>
      <color indexed="8"/>
      <name val="Arial"/>
      <family val="2"/>
    </font>
    <font>
      <b/>
      <sz val="12"/>
      <name val="Arial"/>
      <family val="2"/>
    </font>
    <font>
      <sz val="10"/>
      <name val="Arial"/>
      <family val="2"/>
    </font>
    <font>
      <b/>
      <sz val="10"/>
      <color theme="1"/>
      <name val="Arial"/>
      <family val="2"/>
    </font>
    <font>
      <b/>
      <sz val="8"/>
      <color indexed="81"/>
      <name val="Tahoma"/>
      <family val="2"/>
    </font>
    <font>
      <sz val="8"/>
      <color indexed="81"/>
      <name val="Tahoma"/>
      <family val="2"/>
    </font>
    <font>
      <b/>
      <sz val="11"/>
      <color theme="0"/>
      <name val="Arial"/>
      <family val="2"/>
    </font>
    <font>
      <b/>
      <sz val="10"/>
      <name val="Courier"/>
      <family val="3"/>
    </font>
    <font>
      <sz val="8"/>
      <name val="Arial Black"/>
      <family val="2"/>
    </font>
    <font>
      <sz val="10"/>
      <name val="Arial Black"/>
      <family val="2"/>
    </font>
    <font>
      <sz val="12"/>
      <color theme="1"/>
      <name val="Arial"/>
      <family val="2"/>
    </font>
    <font>
      <sz val="12"/>
      <color rgb="FFFF0000"/>
      <name val="Arial"/>
      <family val="2"/>
    </font>
    <font>
      <sz val="12"/>
      <name val="Courier"/>
      <family val="3"/>
    </font>
    <font>
      <sz val="10"/>
      <name val="Courier"/>
      <family val="3"/>
    </font>
    <font>
      <b/>
      <sz val="16"/>
      <name val="Arial"/>
      <family val="2"/>
    </font>
    <font>
      <sz val="12"/>
      <name val="Arial Black"/>
      <family val="2"/>
    </font>
    <font>
      <b/>
      <sz val="11"/>
      <color theme="1"/>
      <name val="Calibri"/>
      <family val="2"/>
      <scheme val="minor"/>
    </font>
    <font>
      <b/>
      <u/>
      <sz val="11"/>
      <color theme="1"/>
      <name val="Calibri"/>
      <family val="2"/>
      <scheme val="minor"/>
    </font>
    <font>
      <i/>
      <sz val="10"/>
      <color rgb="FFFF0000"/>
      <name val="Arial"/>
      <family val="2"/>
    </font>
    <font>
      <sz val="14"/>
      <color rgb="FFFF0000"/>
      <name val="Arial"/>
      <family val="2"/>
    </font>
    <font>
      <sz val="10"/>
      <name val="Arial"/>
      <family val="2"/>
    </font>
    <font>
      <i/>
      <sz val="10"/>
      <color rgb="FF00B050"/>
      <name val="Arial"/>
      <family val="2"/>
    </font>
    <font>
      <sz val="11"/>
      <name val="Calibri"/>
      <family val="2"/>
      <scheme val="minor"/>
    </font>
    <font>
      <b/>
      <sz val="9"/>
      <color rgb="FF000000"/>
      <name val="Arial"/>
      <family val="2"/>
    </font>
    <font>
      <sz val="12"/>
      <name val="Calibri"/>
      <family val="2"/>
      <scheme val="minor"/>
    </font>
    <font>
      <b/>
      <sz val="12"/>
      <name val="Calibri"/>
      <family val="2"/>
      <scheme val="minor"/>
    </font>
    <font>
      <b/>
      <u/>
      <sz val="12"/>
      <name val="Calibri"/>
      <family val="2"/>
      <scheme val="minor"/>
    </font>
    <font>
      <sz val="12"/>
      <color rgb="FFFF0000"/>
      <name val="Calibri"/>
      <family val="2"/>
      <scheme val="minor"/>
    </font>
    <font>
      <sz val="12"/>
      <color indexed="10"/>
      <name val="Calibri"/>
      <family val="2"/>
      <scheme val="minor"/>
    </font>
    <font>
      <u/>
      <sz val="12"/>
      <name val="Calibri"/>
      <family val="2"/>
      <scheme val="minor"/>
    </font>
    <font>
      <b/>
      <sz val="12"/>
      <color indexed="9"/>
      <name val="Calibri"/>
      <family val="2"/>
      <scheme val="minor"/>
    </font>
    <font>
      <b/>
      <sz val="12"/>
      <color indexed="12"/>
      <name val="Calibri"/>
      <family val="2"/>
      <scheme val="minor"/>
    </font>
    <font>
      <i/>
      <sz val="12"/>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sz val="12"/>
      <color theme="1"/>
      <name val="Calibri"/>
      <family val="2"/>
      <scheme val="minor"/>
    </font>
    <font>
      <b/>
      <i/>
      <sz val="12"/>
      <color rgb="FFFF0000"/>
      <name val="Calibri"/>
      <family val="2"/>
      <scheme val="minor"/>
    </font>
    <font>
      <sz val="10"/>
      <color theme="0"/>
      <name val="Arial"/>
      <family val="2"/>
    </font>
    <font>
      <b/>
      <sz val="10"/>
      <color theme="0"/>
      <name val="Arial"/>
      <family val="2"/>
    </font>
    <font>
      <i/>
      <sz val="10"/>
      <color theme="0" tint="-0.34998626667073579"/>
      <name val="Arial"/>
      <family val="2"/>
    </font>
    <font>
      <b/>
      <i/>
      <sz val="10"/>
      <color theme="0" tint="-0.34998626667073579"/>
      <name val="Arial"/>
      <family val="2"/>
    </font>
    <font>
      <b/>
      <i/>
      <sz val="12"/>
      <name val="Calibri"/>
      <family val="2"/>
      <scheme val="minor"/>
    </font>
    <font>
      <i/>
      <sz val="10"/>
      <color theme="0" tint="-0.249977111117893"/>
      <name val="Arial"/>
      <family val="2"/>
    </font>
    <font>
      <sz val="10"/>
      <color rgb="FF000000"/>
      <name val="Arial"/>
      <family val="2"/>
    </font>
    <font>
      <sz val="11"/>
      <color rgb="FFFF0000"/>
      <name val="Calibri"/>
      <family val="2"/>
      <scheme val="minor"/>
    </font>
    <font>
      <sz val="11"/>
      <color rgb="FF000000"/>
      <name val="Calibri"/>
      <family val="2"/>
      <scheme val="minor"/>
    </font>
    <font>
      <sz val="11"/>
      <name val="Calibri"/>
      <family val="2"/>
    </font>
    <font>
      <sz val="12"/>
      <name val="Calibri"/>
      <family val="2"/>
      <charset val="1"/>
    </font>
    <font>
      <sz val="8"/>
      <name val="Arial"/>
      <family val="2"/>
    </font>
    <font>
      <b/>
      <sz val="10"/>
      <color rgb="FFFF0000"/>
      <name val="Arial"/>
      <family val="2"/>
    </font>
    <font>
      <b/>
      <sz val="18"/>
      <name val="Arial"/>
      <family val="2"/>
    </font>
    <font>
      <sz val="12"/>
      <color rgb="FF99CC00"/>
      <name val="Arial"/>
      <family val="2"/>
    </font>
    <font>
      <i/>
      <sz val="16"/>
      <name val="Arial"/>
      <family val="2"/>
    </font>
    <font>
      <sz val="12"/>
      <color rgb="FFFFFF00"/>
      <name val="Arial"/>
      <family val="2"/>
    </font>
    <font>
      <b/>
      <sz val="16"/>
      <name val="Arial Black"/>
      <family val="2"/>
    </font>
    <font>
      <b/>
      <sz val="12"/>
      <name val="Arial Black"/>
      <family val="2"/>
    </font>
    <font>
      <b/>
      <sz val="10"/>
      <name val="Arial Black"/>
      <family val="2"/>
    </font>
    <font>
      <b/>
      <i/>
      <sz val="11"/>
      <color theme="1"/>
      <name val="Calibri"/>
      <family val="2"/>
      <scheme val="minor"/>
    </font>
    <font>
      <sz val="9"/>
      <color rgb="FF000000"/>
      <name val="Arial"/>
      <family val="2"/>
    </font>
    <font>
      <b/>
      <sz val="9"/>
      <color rgb="FF000000"/>
      <name val="Arial"/>
      <family val="2"/>
    </font>
    <font>
      <sz val="9"/>
      <color rgb="FF000000"/>
      <name val="Arial"/>
      <family val="2"/>
    </font>
    <font>
      <sz val="20"/>
      <name val="Arial"/>
      <family val="2"/>
    </font>
    <font>
      <b/>
      <u/>
      <sz val="11"/>
      <name val="Arial"/>
      <family val="2"/>
    </font>
    <font>
      <i/>
      <sz val="11"/>
      <name val="Arial"/>
      <family val="2"/>
    </font>
    <font>
      <sz val="11"/>
      <color rgb="FF0B0C0C"/>
      <name val="Arial"/>
      <family val="2"/>
    </font>
    <font>
      <b/>
      <sz val="11"/>
      <color rgb="FF0B0C0C"/>
      <name val="Arial"/>
      <family val="2"/>
    </font>
    <font>
      <sz val="8"/>
      <name val="Arial"/>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indexed="42"/>
        <bgColor indexed="64"/>
      </patternFill>
    </fill>
    <fill>
      <patternFill patternType="solid">
        <fgColor theme="5" tint="0.39997558519241921"/>
        <bgColor indexed="64"/>
      </patternFill>
    </fill>
    <fill>
      <patternFill patternType="solid">
        <fgColor rgb="FF99CC00"/>
        <bgColor rgb="FFFFFFFF"/>
      </patternFill>
    </fill>
    <fill>
      <patternFill patternType="solid">
        <fgColor theme="8" tint="0.39997558519241921"/>
        <bgColor indexed="64"/>
      </patternFill>
    </fill>
    <fill>
      <patternFill patternType="solid">
        <fgColor rgb="FFFFFF00"/>
        <bgColor rgb="FF000000"/>
      </patternFill>
    </fill>
    <fill>
      <patternFill patternType="solid">
        <fgColor rgb="FFD9D9D9"/>
        <bgColor indexed="64"/>
      </patternFill>
    </fill>
    <fill>
      <patternFill patternType="solid">
        <fgColor theme="3" tint="0.79998168889431442"/>
        <bgColor indexed="64"/>
      </patternFill>
    </fill>
    <fill>
      <patternFill patternType="solid">
        <fgColor rgb="FF00FF00"/>
        <bgColor rgb="FF000000"/>
      </patternFill>
    </fill>
    <fill>
      <patternFill patternType="solid">
        <fgColor rgb="FF99CC00"/>
        <bgColor rgb="FF000000"/>
      </patternFill>
    </fill>
    <fill>
      <patternFill patternType="solid">
        <fgColor rgb="FFC0C0C0"/>
        <bgColor rgb="FF000000"/>
      </patternFill>
    </fill>
    <fill>
      <patternFill patternType="solid">
        <fgColor rgb="FFCCFFCC"/>
        <bgColor rgb="FF000000"/>
      </patternFill>
    </fill>
    <fill>
      <patternFill patternType="solid">
        <fgColor rgb="FFF0F0F4"/>
        <bgColor rgb="FFFFFFFF"/>
      </patternFill>
    </fill>
    <fill>
      <patternFill patternType="solid">
        <fgColor rgb="FFFF0000"/>
        <bgColor rgb="FFFFFFFF"/>
      </patternFill>
    </fill>
    <fill>
      <patternFill patternType="solid">
        <fgColor rgb="FFFF9900"/>
        <bgColor rgb="FFFFFFFF"/>
      </patternFill>
    </fill>
    <fill>
      <patternFill patternType="solid">
        <fgColor rgb="FFFFFFFF"/>
        <bgColor rgb="FFFFFFFF"/>
      </patternFill>
    </fill>
    <fill>
      <patternFill patternType="solid">
        <fgColor rgb="FF92D050"/>
        <bgColor rgb="FF000000"/>
      </patternFill>
    </fill>
    <fill>
      <patternFill patternType="solid">
        <fgColor theme="9" tint="0.39997558519241921"/>
        <bgColor indexed="64"/>
      </patternFill>
    </fill>
    <fill>
      <patternFill patternType="solid">
        <fgColor theme="4" tint="0.79998168889431442"/>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thin">
        <color indexed="64"/>
      </bottom>
      <diagonal/>
    </border>
    <border>
      <left style="thick">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indexed="64"/>
      </left>
      <right/>
      <top style="thin">
        <color indexed="64"/>
      </top>
      <bottom style="medium">
        <color indexed="64"/>
      </bottom>
      <diagonal/>
    </border>
    <border>
      <left style="medium">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theme="1"/>
      </bottom>
      <diagonal/>
    </border>
    <border>
      <left style="thin">
        <color indexed="64"/>
      </left>
      <right style="thin">
        <color indexed="64"/>
      </right>
      <top style="thin">
        <color indexed="64"/>
      </top>
      <bottom style="medium">
        <color theme="1"/>
      </bottom>
      <diagonal/>
    </border>
    <border>
      <left/>
      <right style="thin">
        <color indexed="64"/>
      </right>
      <top style="medium">
        <color indexed="64"/>
      </top>
      <bottom style="thin">
        <color indexed="64"/>
      </bottom>
      <diagonal/>
    </border>
    <border>
      <left/>
      <right style="thick">
        <color indexed="64"/>
      </right>
      <top/>
      <bottom/>
      <diagonal/>
    </border>
    <border>
      <left style="thick">
        <color indexed="64"/>
      </left>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01">
    <xf numFmtId="0" fontId="0" fillId="0" borderId="0"/>
    <xf numFmtId="0" fontId="4" fillId="0" borderId="0"/>
    <xf numFmtId="0" fontId="7" fillId="0" borderId="0"/>
    <xf numFmtId="0" fontId="4" fillId="0" borderId="0"/>
    <xf numFmtId="0" fontId="7"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2" fillId="0" borderId="0" applyFont="0" applyFill="0" applyBorder="0" applyAlignment="0" applyProtection="0"/>
    <xf numFmtId="44" fontId="21" fillId="0" borderId="0" applyFont="0" applyFill="0" applyBorder="0" applyAlignment="0" applyProtection="0"/>
    <xf numFmtId="0" fontId="39" fillId="0" borderId="0" applyNumberFormat="0" applyFill="0" applyBorder="0" applyAlignment="0" applyProtection="0">
      <protection locked="0"/>
    </xf>
    <xf numFmtId="0" fontId="26" fillId="0" borderId="0" applyNumberFormat="0" applyFill="0" applyBorder="0" applyAlignment="0" applyProtection="0"/>
    <xf numFmtId="1" fontId="40" fillId="0" borderId="0" applyNumberFormat="0" applyFill="0" applyBorder="0" applyAlignment="0" applyProtection="0"/>
    <xf numFmtId="0" fontId="27" fillId="4" borderId="0" applyNumberFormat="0" applyBorder="0" applyAlignment="0" applyProtection="0"/>
    <xf numFmtId="0" fontId="8" fillId="0" borderId="0">
      <alignment horizontal="right" vertical="top"/>
    </xf>
    <xf numFmtId="0" fontId="10" fillId="0" borderId="0">
      <alignment horizontal="center" vertical="center" wrapText="1"/>
    </xf>
    <xf numFmtId="0" fontId="11" fillId="0" borderId="3">
      <alignment horizontal="center" vertical="center" wrapText="1"/>
    </xf>
    <xf numFmtId="0" fontId="10" fillId="0" borderId="0">
      <alignment horizontal="left" wrapText="1"/>
    </xf>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1" fontId="41" fillId="0" borderId="0" applyNumberFormat="0" applyFill="0" applyBorder="0" applyAlignment="0" applyProtection="0"/>
    <xf numFmtId="0" fontId="31" fillId="7" borderId="1" applyNumberFormat="0" applyAlignment="0" applyProtection="0"/>
    <xf numFmtId="0" fontId="11" fillId="0" borderId="0">
      <alignment horizontal="left" vertical="center"/>
    </xf>
    <xf numFmtId="0" fontId="11" fillId="0" borderId="0">
      <alignment horizontal="center" vertical="center"/>
    </xf>
    <xf numFmtId="0" fontId="32" fillId="0" borderId="7" applyNumberFormat="0" applyFill="0" applyAlignment="0" applyProtection="0"/>
    <xf numFmtId="10" fontId="42" fillId="0" borderId="8" applyFill="0" applyAlignment="0" applyProtection="0">
      <protection locked="0"/>
    </xf>
    <xf numFmtId="0" fontId="33" fillId="22" borderId="0" applyNumberFormat="0" applyBorder="0" applyAlignment="0" applyProtection="0"/>
    <xf numFmtId="0" fontId="12" fillId="0" borderId="0"/>
    <xf numFmtId="0" fontId="7" fillId="0" borderId="0" applyNumberFormat="0" applyFill="0" applyBorder="0" applyAlignment="0" applyProtection="0"/>
    <xf numFmtId="0" fontId="7" fillId="0" borderId="0"/>
    <xf numFmtId="0" fontId="52" fillId="0" borderId="0"/>
    <xf numFmtId="0" fontId="21" fillId="0" borderId="0"/>
    <xf numFmtId="0" fontId="19" fillId="0" borderId="0"/>
    <xf numFmtId="0" fontId="47" fillId="0" borderId="0"/>
    <xf numFmtId="0" fontId="21" fillId="0" borderId="0"/>
    <xf numFmtId="0" fontId="19" fillId="0" borderId="0"/>
    <xf numFmtId="0" fontId="19" fillId="0" borderId="0"/>
    <xf numFmtId="0" fontId="21" fillId="23" borderId="9" applyNumberFormat="0" applyFont="0" applyAlignment="0" applyProtection="0"/>
    <xf numFmtId="3" fontId="11" fillId="0" borderId="0">
      <alignment horizontal="right"/>
    </xf>
    <xf numFmtId="0" fontId="34" fillId="20" borderId="10" applyNumberFormat="0" applyAlignment="0" applyProtection="0"/>
    <xf numFmtId="1" fontId="43" fillId="0" borderId="11" applyNumberFormat="0" applyFill="0" applyBorder="0" applyAlignment="0" applyProtection="0"/>
    <xf numFmtId="4" fontId="13" fillId="0" borderId="12" applyNumberFormat="0" applyProtection="0">
      <alignment vertical="center"/>
    </xf>
    <xf numFmtId="4" fontId="13" fillId="0" borderId="13" applyNumberFormat="0" applyProtection="0">
      <alignment horizontal="centerContinuous" vertical="center"/>
    </xf>
    <xf numFmtId="0" fontId="14" fillId="0" borderId="14" applyNumberFormat="0" applyProtection="0">
      <alignment vertical="center"/>
    </xf>
    <xf numFmtId="0" fontId="14" fillId="0" borderId="15" applyNumberFormat="0" applyProtection="0">
      <alignment horizontal="left" vertical="center" indent="1"/>
    </xf>
    <xf numFmtId="0" fontId="15" fillId="0" borderId="15" applyNumberFormat="0" applyProtection="0">
      <alignment horizontal="left" vertical="center" indent="1"/>
    </xf>
    <xf numFmtId="0" fontId="13" fillId="0" borderId="16" applyNumberFormat="0" applyProtection="0">
      <alignment horizontal="right" vertical="top" wrapText="1"/>
    </xf>
    <xf numFmtId="4" fontId="16" fillId="0" borderId="17" applyNumberFormat="0" applyProtection="0">
      <alignment horizontal="left" vertical="center" indent="1"/>
    </xf>
    <xf numFmtId="0" fontId="4" fillId="0" borderId="0"/>
    <xf numFmtId="0" fontId="5" fillId="0" borderId="18" applyBorder="0">
      <alignment horizontal="right"/>
    </xf>
    <xf numFmtId="168" fontId="4" fillId="0" borderId="0"/>
    <xf numFmtId="168" fontId="4" fillId="0" borderId="0"/>
    <xf numFmtId="168" fontId="4" fillId="0" borderId="0"/>
    <xf numFmtId="0" fontId="35" fillId="0" borderId="0" applyNumberFormat="0" applyFill="0" applyBorder="0" applyAlignment="0" applyProtection="0"/>
    <xf numFmtId="0" fontId="36" fillId="0" borderId="19"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37" fillId="0" borderId="0" applyNumberFormat="0" applyFill="0" applyBorder="0" applyAlignment="0" applyProtection="0"/>
    <xf numFmtId="0" fontId="3" fillId="0" borderId="0"/>
    <xf numFmtId="43" fontId="3" fillId="0" borderId="0" applyFont="0" applyFill="0" applyBorder="0" applyAlignment="0" applyProtection="0"/>
    <xf numFmtId="0" fontId="4" fillId="0" borderId="0"/>
    <xf numFmtId="0" fontId="4" fillId="0" borderId="0"/>
    <xf numFmtId="4" fontId="38" fillId="0" borderId="0" applyNumberFormat="0" applyProtection="0">
      <alignment horizontal="left" vertical="center" indent="1"/>
    </xf>
    <xf numFmtId="43" fontId="62" fillId="0" borderId="0" applyFont="0" applyFill="0" applyBorder="0" applyAlignment="0" applyProtection="0"/>
    <xf numFmtId="0" fontId="4" fillId="0" borderId="0"/>
    <xf numFmtId="0" fontId="4" fillId="0" borderId="0"/>
    <xf numFmtId="0" fontId="5" fillId="0" borderId="3">
      <alignment horizontal="center" vertical="center" wrapText="1"/>
    </xf>
    <xf numFmtId="0" fontId="5" fillId="0" borderId="0">
      <alignment horizontal="left" vertical="center"/>
    </xf>
    <xf numFmtId="0" fontId="5" fillId="0" borderId="0">
      <alignment horizontal="center" vertical="center"/>
    </xf>
    <xf numFmtId="0" fontId="4" fillId="0" borderId="0" applyNumberFormat="0" applyFill="0" applyBorder="0" applyAlignment="0" applyProtection="0"/>
    <xf numFmtId="0" fontId="4" fillId="0" borderId="0"/>
    <xf numFmtId="0" fontId="2" fillId="0" borderId="0"/>
    <xf numFmtId="3" fontId="5" fillId="0" borderId="0">
      <alignment horizontal="right"/>
    </xf>
    <xf numFmtId="0" fontId="4" fillId="0" borderId="0"/>
    <xf numFmtId="9" fontId="80" fillId="0" borderId="0" applyFont="0" applyFill="0" applyBorder="0" applyAlignment="0" applyProtection="0"/>
  </cellStyleXfs>
  <cellXfs count="1113">
    <xf numFmtId="0" fontId="0" fillId="0" borderId="0" xfId="0"/>
    <xf numFmtId="0" fontId="6" fillId="0" borderId="0" xfId="0" applyFont="1"/>
    <xf numFmtId="0" fontId="0" fillId="0" borderId="0" xfId="0" applyAlignment="1">
      <alignment horizontal="center"/>
    </xf>
    <xf numFmtId="0" fontId="8" fillId="0" borderId="0" xfId="0" applyFont="1" applyAlignment="1">
      <alignment horizontal="center"/>
    </xf>
    <xf numFmtId="0" fontId="9" fillId="0" borderId="0" xfId="0" applyFont="1"/>
    <xf numFmtId="0" fontId="0" fillId="0" borderId="12" xfId="0" applyBorder="1" applyAlignment="1">
      <alignment horizontal="center"/>
    </xf>
    <xf numFmtId="0" fontId="8" fillId="0" borderId="12" xfId="0" applyFont="1" applyBorder="1" applyAlignment="1">
      <alignment horizontal="center"/>
    </xf>
    <xf numFmtId="164" fontId="0" fillId="0" borderId="0" xfId="0" applyNumberFormat="1" applyAlignment="1">
      <alignment horizontal="center"/>
    </xf>
    <xf numFmtId="164" fontId="0" fillId="0" borderId="12" xfId="0" applyNumberFormat="1" applyBorder="1" applyAlignment="1">
      <alignment horizontal="center"/>
    </xf>
    <xf numFmtId="0" fontId="0" fillId="0" borderId="0" xfId="0" applyAlignment="1">
      <alignment horizontal="center" wrapText="1"/>
    </xf>
    <xf numFmtId="0" fontId="7" fillId="0" borderId="0" xfId="61" applyFont="1"/>
    <xf numFmtId="0" fontId="7" fillId="0" borderId="0" xfId="61" applyFont="1" applyAlignment="1">
      <alignment horizontal="center"/>
    </xf>
    <xf numFmtId="164" fontId="7" fillId="0" borderId="0" xfId="61" applyNumberFormat="1" applyFont="1" applyAlignment="1">
      <alignment horizontal="center"/>
    </xf>
    <xf numFmtId="0" fontId="18" fillId="0" borderId="12" xfId="61" applyFont="1" applyBorder="1"/>
    <xf numFmtId="0" fontId="20" fillId="0" borderId="0" xfId="61" applyFont="1"/>
    <xf numFmtId="0" fontId="4" fillId="0" borderId="0" xfId="61" applyFont="1"/>
    <xf numFmtId="0" fontId="19" fillId="0" borderId="0" xfId="61"/>
    <xf numFmtId="0" fontId="19" fillId="0" borderId="0" xfId="61" applyAlignment="1">
      <alignment horizontal="center" wrapText="1"/>
    </xf>
    <xf numFmtId="164" fontId="19" fillId="0" borderId="0" xfId="61" applyNumberFormat="1" applyAlignment="1">
      <alignment horizontal="center"/>
    </xf>
    <xf numFmtId="0" fontId="19" fillId="24" borderId="0" xfId="61" applyFill="1"/>
    <xf numFmtId="164" fontId="8" fillId="0" borderId="0" xfId="61" applyNumberFormat="1" applyFont="1" applyAlignment="1">
      <alignment horizontal="center"/>
    </xf>
    <xf numFmtId="0" fontId="18" fillId="0" borderId="0" xfId="61" applyFont="1"/>
    <xf numFmtId="164" fontId="8" fillId="0" borderId="12" xfId="61" applyNumberFormat="1" applyFont="1" applyBorder="1" applyAlignment="1">
      <alignment horizontal="center"/>
    </xf>
    <xf numFmtId="0" fontId="8" fillId="0" borderId="0" xfId="61" applyFont="1" applyAlignment="1">
      <alignment horizontal="center" wrapText="1"/>
    </xf>
    <xf numFmtId="164" fontId="8" fillId="0" borderId="0" xfId="0" applyNumberFormat="1" applyFont="1" applyAlignment="1">
      <alignment horizontal="center"/>
    </xf>
    <xf numFmtId="0" fontId="9" fillId="0" borderId="0" xfId="58" applyFont="1"/>
    <xf numFmtId="0" fontId="7" fillId="0" borderId="0" xfId="58" applyFont="1"/>
    <xf numFmtId="0" fontId="7" fillId="0" borderId="0" xfId="58" applyFont="1" applyAlignment="1">
      <alignment horizontal="center"/>
    </xf>
    <xf numFmtId="0" fontId="49" fillId="0" borderId="0" xfId="58" applyFont="1"/>
    <xf numFmtId="0" fontId="50" fillId="0" borderId="0" xfId="58" applyFont="1"/>
    <xf numFmtId="0" fontId="6" fillId="0" borderId="0" xfId="58" applyFont="1"/>
    <xf numFmtId="0" fontId="17" fillId="0" borderId="0" xfId="58" applyFont="1"/>
    <xf numFmtId="0" fontId="17" fillId="0" borderId="0" xfId="58" applyFont="1" applyAlignment="1">
      <alignment horizontal="left"/>
    </xf>
    <xf numFmtId="0" fontId="0" fillId="0" borderId="0" xfId="0" applyAlignment="1">
      <alignment horizontal="left"/>
    </xf>
    <xf numFmtId="0" fontId="9" fillId="0" borderId="0" xfId="61" applyFont="1"/>
    <xf numFmtId="0" fontId="6" fillId="0" borderId="0" xfId="61" applyFont="1"/>
    <xf numFmtId="0" fontId="8" fillId="0" borderId="12" xfId="61" applyFont="1" applyBorder="1" applyAlignment="1">
      <alignment horizontal="center" wrapText="1"/>
    </xf>
    <xf numFmtId="3" fontId="0" fillId="0" borderId="0" xfId="0" applyNumberFormat="1" applyAlignment="1">
      <alignment horizontal="center"/>
    </xf>
    <xf numFmtId="0" fontId="0" fillId="24" borderId="39" xfId="0" applyFill="1" applyBorder="1" applyAlignment="1" applyProtection="1">
      <alignment horizontal="left"/>
      <protection hidden="1"/>
    </xf>
    <xf numFmtId="0" fontId="8" fillId="0" borderId="0" xfId="61" applyFont="1"/>
    <xf numFmtId="1" fontId="7" fillId="0" borderId="0" xfId="61" applyNumberFormat="1" applyFont="1"/>
    <xf numFmtId="0" fontId="53" fillId="35" borderId="38" xfId="0" applyFont="1" applyFill="1" applyBorder="1" applyAlignment="1">
      <alignment horizontal="center" vertical="center"/>
    </xf>
    <xf numFmtId="0" fontId="53" fillId="35" borderId="40" xfId="0" applyFont="1" applyFill="1" applyBorder="1" applyAlignment="1">
      <alignment horizontal="center" vertical="center"/>
    </xf>
    <xf numFmtId="0" fontId="53" fillId="35" borderId="41" xfId="0" applyFont="1" applyFill="1" applyBorder="1" applyAlignment="1">
      <alignment horizontal="center" vertical="center"/>
    </xf>
    <xf numFmtId="0" fontId="54" fillId="0" borderId="12" xfId="0" applyFont="1" applyBorder="1"/>
    <xf numFmtId="164" fontId="54" fillId="0" borderId="37" xfId="0" applyNumberFormat="1" applyFont="1" applyBorder="1" applyAlignment="1">
      <alignment horizontal="center"/>
    </xf>
    <xf numFmtId="0" fontId="54" fillId="0" borderId="42" xfId="0" applyFont="1" applyBorder="1"/>
    <xf numFmtId="164" fontId="54" fillId="0" borderId="44" xfId="0" applyNumberFormat="1" applyFont="1" applyBorder="1" applyAlignment="1">
      <alignment horizontal="center"/>
    </xf>
    <xf numFmtId="0" fontId="54" fillId="0" borderId="0" xfId="0" applyFont="1" applyAlignment="1">
      <alignment horizontal="center"/>
    </xf>
    <xf numFmtId="0" fontId="54" fillId="0" borderId="0" xfId="0" applyFont="1"/>
    <xf numFmtId="164" fontId="54" fillId="0" borderId="0" xfId="0" applyNumberFormat="1" applyFont="1"/>
    <xf numFmtId="0" fontId="54" fillId="0" borderId="0" xfId="0" applyFont="1" applyAlignment="1">
      <alignment horizontal="right"/>
    </xf>
    <xf numFmtId="164" fontId="54" fillId="0" borderId="28" xfId="0" applyNumberFormat="1" applyFont="1" applyBorder="1" applyAlignment="1">
      <alignment horizontal="center"/>
    </xf>
    <xf numFmtId="0" fontId="54" fillId="0" borderId="39" xfId="0" applyFont="1" applyBorder="1" applyAlignment="1">
      <alignment horizontal="center"/>
    </xf>
    <xf numFmtId="0" fontId="54" fillId="0" borderId="45" xfId="0" applyFont="1" applyBorder="1" applyAlignment="1">
      <alignment horizontal="center"/>
    </xf>
    <xf numFmtId="0" fontId="55" fillId="0" borderId="0" xfId="58" applyFont="1"/>
    <xf numFmtId="0" fontId="8" fillId="0" borderId="29" xfId="61" applyFont="1" applyBorder="1" applyAlignment="1">
      <alignment horizontal="center"/>
    </xf>
    <xf numFmtId="0" fontId="8" fillId="0" borderId="33" xfId="61" applyFont="1" applyBorder="1"/>
    <xf numFmtId="0" fontId="55" fillId="0" borderId="0" xfId="0" applyFont="1"/>
    <xf numFmtId="0" fontId="8" fillId="0" borderId="0" xfId="0" applyFont="1"/>
    <xf numFmtId="49" fontId="8" fillId="0" borderId="0" xfId="0" applyNumberFormat="1" applyFont="1" applyAlignment="1">
      <alignment horizontal="left"/>
    </xf>
    <xf numFmtId="164" fontId="0" fillId="0" borderId="0" xfId="0" applyNumberFormat="1"/>
    <xf numFmtId="49" fontId="8" fillId="0" borderId="0" xfId="0" applyNumberFormat="1" applyFont="1" applyAlignment="1">
      <alignment horizontal="center"/>
    </xf>
    <xf numFmtId="1" fontId="55" fillId="0" borderId="0" xfId="61" applyNumberFormat="1" applyFont="1" applyAlignment="1">
      <alignment horizontal="center"/>
    </xf>
    <xf numFmtId="0" fontId="4" fillId="0" borderId="0" xfId="61" applyFont="1" applyAlignment="1">
      <alignment horizontal="center"/>
    </xf>
    <xf numFmtId="164" fontId="4" fillId="0" borderId="0" xfId="61" applyNumberFormat="1" applyFont="1" applyAlignment="1">
      <alignment horizontal="center"/>
    </xf>
    <xf numFmtId="0" fontId="4" fillId="0" borderId="12" xfId="61" applyFont="1" applyBorder="1" applyAlignment="1">
      <alignment horizontal="left" wrapText="1"/>
    </xf>
    <xf numFmtId="0" fontId="4" fillId="0" borderId="12" xfId="61" applyFont="1" applyBorder="1"/>
    <xf numFmtId="0" fontId="4" fillId="0" borderId="12" xfId="61" applyFont="1" applyBorder="1" applyAlignment="1">
      <alignment horizontal="center"/>
    </xf>
    <xf numFmtId="0" fontId="4" fillId="0" borderId="12" xfId="0" applyFont="1" applyBorder="1" applyAlignment="1">
      <alignment horizontal="center"/>
    </xf>
    <xf numFmtId="0" fontId="4" fillId="0" borderId="12" xfId="0" applyFont="1" applyBorder="1" applyAlignment="1">
      <alignment horizontal="center" wrapText="1"/>
    </xf>
    <xf numFmtId="0" fontId="4" fillId="0" borderId="12" xfId="61" applyFont="1" applyBorder="1" applyAlignment="1">
      <alignment horizontal="center" wrapText="1"/>
    </xf>
    <xf numFmtId="164" fontId="4" fillId="0" borderId="12" xfId="61" applyNumberFormat="1" applyFont="1" applyBorder="1" applyAlignment="1">
      <alignment horizontal="center" wrapText="1"/>
    </xf>
    <xf numFmtId="0" fontId="4" fillId="0" borderId="0" xfId="61" applyFont="1" applyAlignment="1">
      <alignment horizontal="center" wrapText="1"/>
    </xf>
    <xf numFmtId="0" fontId="4" fillId="0" borderId="12" xfId="61" applyFont="1" applyBorder="1" applyAlignment="1">
      <alignment horizontal="left"/>
    </xf>
    <xf numFmtId="164" fontId="4" fillId="0" borderId="12" xfId="61" applyNumberFormat="1" applyFont="1" applyBorder="1" applyAlignment="1">
      <alignment horizontal="center"/>
    </xf>
    <xf numFmtId="164" fontId="4" fillId="0" borderId="0" xfId="61" applyNumberFormat="1" applyFont="1"/>
    <xf numFmtId="164" fontId="4" fillId="30" borderId="12" xfId="61" applyNumberFormat="1" applyFont="1" applyFill="1" applyBorder="1" applyAlignment="1">
      <alignment horizontal="center"/>
    </xf>
    <xf numFmtId="0" fontId="4" fillId="0" borderId="0" xfId="61" applyFont="1" applyAlignment="1">
      <alignment horizontal="left"/>
    </xf>
    <xf numFmtId="164" fontId="4" fillId="0" borderId="28" xfId="61" applyNumberFormat="1" applyFont="1" applyBorder="1" applyAlignment="1">
      <alignment horizontal="center"/>
    </xf>
    <xf numFmtId="3" fontId="4" fillId="0" borderId="28" xfId="61" applyNumberFormat="1" applyFont="1" applyBorder="1" applyAlignment="1">
      <alignment horizontal="center"/>
    </xf>
    <xf numFmtId="3" fontId="4" fillId="0" borderId="0" xfId="61" applyNumberFormat="1" applyFont="1" applyAlignment="1">
      <alignment horizontal="center"/>
    </xf>
    <xf numFmtId="164" fontId="4" fillId="0" borderId="12" xfId="58" applyNumberFormat="1" applyFont="1" applyBorder="1" applyAlignment="1">
      <alignment horizontal="center"/>
    </xf>
    <xf numFmtId="0" fontId="4" fillId="32" borderId="12" xfId="61" applyFont="1" applyFill="1" applyBorder="1"/>
    <xf numFmtId="0" fontId="4" fillId="0" borderId="18" xfId="61" applyFont="1" applyBorder="1"/>
    <xf numFmtId="0" fontId="4" fillId="0" borderId="12" xfId="61" applyFont="1" applyBorder="1" applyAlignment="1">
      <alignment wrapText="1"/>
    </xf>
    <xf numFmtId="0" fontId="4" fillId="38" borderId="0" xfId="61" applyFont="1" applyFill="1" applyAlignment="1">
      <alignment horizontal="center" wrapText="1"/>
    </xf>
    <xf numFmtId="9" fontId="4" fillId="0" borderId="0" xfId="61" applyNumberFormat="1" applyFont="1" applyAlignment="1">
      <alignment horizontal="center"/>
    </xf>
    <xf numFmtId="1" fontId="4" fillId="0" borderId="0" xfId="61" applyNumberFormat="1" applyFont="1" applyAlignment="1">
      <alignment horizontal="center"/>
    </xf>
    <xf numFmtId="164" fontId="4" fillId="38" borderId="0" xfId="61" applyNumberFormat="1" applyFont="1" applyFill="1" applyAlignment="1">
      <alignment horizontal="center"/>
    </xf>
    <xf numFmtId="0" fontId="4" fillId="0" borderId="0" xfId="61" applyFont="1" applyAlignment="1">
      <alignment wrapText="1"/>
    </xf>
    <xf numFmtId="1" fontId="4" fillId="0" borderId="0" xfId="61" applyNumberFormat="1" applyFont="1" applyAlignment="1">
      <alignment horizontal="center" wrapText="1"/>
    </xf>
    <xf numFmtId="164" fontId="4" fillId="0" borderId="0" xfId="61" applyNumberFormat="1" applyFont="1" applyAlignment="1">
      <alignment horizontal="center" wrapText="1"/>
    </xf>
    <xf numFmtId="166" fontId="4" fillId="0" borderId="0" xfId="61" applyNumberFormat="1" applyFont="1"/>
    <xf numFmtId="2" fontId="4" fillId="0" borderId="0" xfId="61" applyNumberFormat="1" applyFont="1" applyAlignment="1">
      <alignment horizontal="center"/>
    </xf>
    <xf numFmtId="2" fontId="4" fillId="0" borderId="0" xfId="61" applyNumberFormat="1" applyFont="1"/>
    <xf numFmtId="0" fontId="4" fillId="0" borderId="29" xfId="61" applyFont="1" applyBorder="1" applyAlignment="1">
      <alignment wrapText="1"/>
    </xf>
    <xf numFmtId="0" fontId="4" fillId="0" borderId="29" xfId="61" applyFont="1" applyBorder="1"/>
    <xf numFmtId="1" fontId="4" fillId="30" borderId="12" xfId="61" applyNumberFormat="1" applyFont="1" applyFill="1" applyBorder="1" applyAlignment="1">
      <alignment horizontal="center"/>
    </xf>
    <xf numFmtId="164" fontId="4" fillId="0" borderId="12" xfId="61" applyNumberFormat="1" applyFont="1" applyBorder="1"/>
    <xf numFmtId="1" fontId="4" fillId="0" borderId="0" xfId="61" applyNumberFormat="1" applyFont="1"/>
    <xf numFmtId="0" fontId="4" fillId="0" borderId="0" xfId="0" applyFont="1"/>
    <xf numFmtId="164" fontId="55" fillId="0" borderId="0" xfId="0" applyNumberFormat="1" applyFont="1" applyAlignment="1">
      <alignment horizontal="center"/>
    </xf>
    <xf numFmtId="0" fontId="4" fillId="0" borderId="0" xfId="58" applyFont="1" applyAlignment="1">
      <alignment horizontal="center"/>
    </xf>
    <xf numFmtId="0" fontId="55" fillId="0" borderId="0" xfId="61" applyFont="1"/>
    <xf numFmtId="164" fontId="55" fillId="0" borderId="0" xfId="61" applyNumberFormat="1" applyFont="1" applyAlignment="1">
      <alignment horizontal="center"/>
    </xf>
    <xf numFmtId="0" fontId="55" fillId="0" borderId="0" xfId="61" applyFont="1" applyAlignment="1">
      <alignment horizontal="center"/>
    </xf>
    <xf numFmtId="9" fontId="55" fillId="0" borderId="0" xfId="61" applyNumberFormat="1" applyFont="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0" fontId="4" fillId="32" borderId="0" xfId="61" applyFont="1" applyFill="1" applyAlignment="1">
      <alignment horizontal="center" wrapText="1"/>
    </xf>
    <xf numFmtId="0" fontId="4" fillId="32" borderId="0" xfId="61" applyFont="1" applyFill="1" applyAlignment="1">
      <alignment horizontal="center" vertical="center" wrapText="1"/>
    </xf>
    <xf numFmtId="0" fontId="8" fillId="32" borderId="12" xfId="61" applyFont="1" applyFill="1" applyBorder="1" applyAlignment="1">
      <alignment horizontal="center" wrapText="1"/>
    </xf>
    <xf numFmtId="0" fontId="10" fillId="0" borderId="12" xfId="62" applyFont="1" applyBorder="1" applyAlignment="1">
      <alignment vertical="center" wrapText="1"/>
    </xf>
    <xf numFmtId="0" fontId="10" fillId="0" borderId="12" xfId="62" applyFont="1" applyBorder="1" applyAlignment="1">
      <alignment horizontal="center" vertical="center" wrapText="1"/>
    </xf>
    <xf numFmtId="0" fontId="10" fillId="25" borderId="12" xfId="62" applyFont="1" applyFill="1" applyBorder="1" applyAlignment="1">
      <alignment horizontal="center" vertical="center" wrapText="1" shrinkToFit="1"/>
    </xf>
    <xf numFmtId="49" fontId="10" fillId="26" borderId="12" xfId="62" applyNumberFormat="1" applyFont="1" applyFill="1" applyBorder="1" applyAlignment="1">
      <alignment horizontal="center" vertical="center" wrapText="1" shrinkToFit="1"/>
    </xf>
    <xf numFmtId="0" fontId="10" fillId="27" borderId="12" xfId="62" applyFont="1" applyFill="1" applyBorder="1" applyAlignment="1">
      <alignment horizontal="center" vertical="center" wrapText="1" shrinkToFit="1"/>
    </xf>
    <xf numFmtId="0" fontId="59" fillId="26" borderId="12" xfId="60" applyFont="1" applyFill="1" applyBorder="1" applyAlignment="1">
      <alignment horizontal="center" vertical="center" wrapText="1"/>
    </xf>
    <xf numFmtId="9" fontId="59" fillId="27" borderId="12" xfId="60" applyNumberFormat="1" applyFont="1" applyFill="1" applyBorder="1" applyAlignment="1">
      <alignment horizontal="center" vertical="center" wrapText="1"/>
    </xf>
    <xf numFmtId="0" fontId="5" fillId="0" borderId="12" xfId="62" applyFont="1" applyBorder="1" applyAlignment="1">
      <alignment wrapText="1"/>
    </xf>
    <xf numFmtId="0" fontId="5" fillId="29" borderId="12" xfId="62" applyFont="1" applyFill="1" applyBorder="1" applyAlignment="1">
      <alignment horizontal="center" wrapText="1"/>
    </xf>
    <xf numFmtId="1" fontId="5" fillId="25" borderId="12" xfId="62" applyNumberFormat="1" applyFont="1" applyFill="1" applyBorder="1" applyAlignment="1">
      <alignment horizontal="center" wrapText="1"/>
    </xf>
    <xf numFmtId="1" fontId="5" fillId="26" borderId="12" xfId="62" applyNumberFormat="1" applyFont="1" applyFill="1" applyBorder="1" applyAlignment="1">
      <alignment horizontal="center" wrapText="1"/>
    </xf>
    <xf numFmtId="167" fontId="5" fillId="27" borderId="12" xfId="62" applyNumberFormat="1" applyFont="1" applyFill="1" applyBorder="1" applyAlignment="1">
      <alignment horizontal="center" wrapText="1"/>
    </xf>
    <xf numFmtId="0" fontId="5" fillId="26" borderId="12" xfId="62" applyFont="1" applyFill="1" applyBorder="1" applyAlignment="1">
      <alignment horizontal="center" wrapText="1"/>
    </xf>
    <xf numFmtId="1" fontId="60" fillId="26" borderId="12" xfId="60" applyNumberFormat="1" applyFont="1" applyFill="1" applyBorder="1" applyAlignment="1">
      <alignment horizontal="center" wrapText="1"/>
    </xf>
    <xf numFmtId="167" fontId="60" fillId="27" borderId="12" xfId="60" applyNumberFormat="1" applyFont="1" applyFill="1" applyBorder="1" applyAlignment="1">
      <alignment horizontal="center" wrapText="1"/>
    </xf>
    <xf numFmtId="1" fontId="5" fillId="26" borderId="12" xfId="60" applyNumberFormat="1" applyFont="1" applyFill="1" applyBorder="1" applyAlignment="1">
      <alignment horizontal="center" wrapText="1"/>
    </xf>
    <xf numFmtId="9" fontId="4" fillId="0" borderId="0" xfId="0" applyNumberFormat="1" applyFont="1" applyAlignment="1">
      <alignment horizontal="center"/>
    </xf>
    <xf numFmtId="1" fontId="4" fillId="0" borderId="0" xfId="0" applyNumberFormat="1" applyFont="1" applyAlignment="1">
      <alignment horizontal="center"/>
    </xf>
    <xf numFmtId="0" fontId="55" fillId="30" borderId="0" xfId="61" applyFont="1" applyFill="1" applyAlignment="1">
      <alignment horizontal="center"/>
    </xf>
    <xf numFmtId="167" fontId="5" fillId="25" borderId="12" xfId="62" applyNumberFormat="1" applyFont="1" applyFill="1" applyBorder="1" applyAlignment="1">
      <alignment horizontal="center" wrapText="1"/>
    </xf>
    <xf numFmtId="1" fontId="5" fillId="39" borderId="12" xfId="62" applyNumberFormat="1" applyFont="1" applyFill="1" applyBorder="1" applyAlignment="1">
      <alignment horizontal="center" wrapText="1"/>
    </xf>
    <xf numFmtId="164" fontId="4" fillId="0" borderId="23" xfId="0" applyNumberFormat="1" applyFont="1" applyBorder="1" applyAlignment="1">
      <alignment horizontal="center"/>
    </xf>
    <xf numFmtId="164" fontId="0" fillId="0" borderId="24" xfId="0" applyNumberFormat="1" applyBorder="1" applyAlignment="1">
      <alignment horizontal="center"/>
    </xf>
    <xf numFmtId="164" fontId="4" fillId="0" borderId="25" xfId="0" applyNumberFormat="1" applyFont="1" applyBorder="1" applyAlignment="1">
      <alignment horizontal="center"/>
    </xf>
    <xf numFmtId="164" fontId="4" fillId="0" borderId="26" xfId="0" applyNumberFormat="1" applyFont="1" applyBorder="1" applyAlignment="1">
      <alignment horizontal="center"/>
    </xf>
    <xf numFmtId="164" fontId="0" fillId="0" borderId="27" xfId="0" applyNumberFormat="1" applyBorder="1" applyAlignment="1">
      <alignment horizontal="center"/>
    </xf>
    <xf numFmtId="164" fontId="4" fillId="0" borderId="27" xfId="0" applyNumberFormat="1" applyFont="1" applyBorder="1" applyAlignment="1">
      <alignment horizontal="center"/>
    </xf>
    <xf numFmtId="164" fontId="0" fillId="32" borderId="0" xfId="0" applyNumberFormat="1" applyFill="1" applyAlignment="1">
      <alignment horizontal="center"/>
    </xf>
    <xf numFmtId="164" fontId="0" fillId="30" borderId="0" xfId="0" applyNumberFormat="1" applyFill="1" applyAlignment="1">
      <alignment horizontal="center"/>
    </xf>
    <xf numFmtId="164" fontId="0" fillId="34" borderId="0" xfId="0" applyNumberFormat="1" applyFill="1" applyAlignment="1">
      <alignment horizontal="center"/>
    </xf>
    <xf numFmtId="164" fontId="0" fillId="33" borderId="0" xfId="0" applyNumberFormat="1" applyFill="1" applyAlignment="1">
      <alignment horizontal="center"/>
    </xf>
    <xf numFmtId="164" fontId="0" fillId="31" borderId="0" xfId="0" applyNumberFormat="1" applyFill="1" applyAlignment="1">
      <alignment horizontal="center"/>
    </xf>
    <xf numFmtId="164" fontId="54" fillId="0" borderId="0" xfId="84" applyNumberFormat="1" applyFont="1" applyAlignment="1">
      <alignment horizontal="center"/>
    </xf>
    <xf numFmtId="0" fontId="4" fillId="0" borderId="0" xfId="0" applyFont="1" applyAlignment="1">
      <alignment horizontal="right"/>
    </xf>
    <xf numFmtId="164" fontId="18" fillId="0" borderId="0" xfId="0" applyNumberFormat="1" applyFont="1" applyAlignment="1">
      <alignment horizontal="center"/>
    </xf>
    <xf numFmtId="0" fontId="0" fillId="0" borderId="28" xfId="0" applyBorder="1"/>
    <xf numFmtId="164" fontId="0" fillId="0" borderId="3" xfId="0" applyNumberFormat="1" applyBorder="1" applyAlignment="1">
      <alignment horizontal="center"/>
    </xf>
    <xf numFmtId="0" fontId="18" fillId="0" borderId="0" xfId="0" applyFont="1"/>
    <xf numFmtId="0" fontId="4" fillId="24" borderId="39" xfId="0" applyFont="1" applyFill="1" applyBorder="1" applyAlignment="1" applyProtection="1">
      <alignment horizontal="left"/>
      <protection hidden="1"/>
    </xf>
    <xf numFmtId="164" fontId="4" fillId="0" borderId="0" xfId="0" applyNumberFormat="1" applyFont="1" applyAlignment="1">
      <alignment horizontal="left"/>
    </xf>
    <xf numFmtId="3" fontId="54" fillId="0" borderId="0" xfId="0" applyNumberFormat="1" applyFont="1" applyAlignment="1">
      <alignment horizontal="center"/>
    </xf>
    <xf numFmtId="164" fontId="54" fillId="0" borderId="0" xfId="0" applyNumberFormat="1" applyFont="1" applyAlignment="1">
      <alignment horizontal="center"/>
    </xf>
    <xf numFmtId="0" fontId="54" fillId="0" borderId="0" xfId="0" applyFont="1" applyAlignment="1">
      <alignment horizontal="center" vertical="center"/>
    </xf>
    <xf numFmtId="0" fontId="54" fillId="0" borderId="0" xfId="0" applyFont="1" applyAlignment="1">
      <alignment horizontal="center" vertical="center" wrapText="1"/>
    </xf>
    <xf numFmtId="164" fontId="54" fillId="33" borderId="0" xfId="0" applyNumberFormat="1" applyFont="1" applyFill="1" applyAlignment="1">
      <alignment horizontal="center"/>
    </xf>
    <xf numFmtId="0" fontId="54" fillId="0" borderId="0" xfId="0" applyFont="1" applyAlignment="1">
      <alignment wrapText="1"/>
    </xf>
    <xf numFmtId="0" fontId="54" fillId="33" borderId="20" xfId="0" applyFont="1" applyFill="1" applyBorder="1" applyAlignment="1">
      <alignment horizontal="center"/>
    </xf>
    <xf numFmtId="0" fontId="8" fillId="0" borderId="36" xfId="61" applyFont="1" applyBorder="1" applyAlignment="1">
      <alignment horizontal="center"/>
    </xf>
    <xf numFmtId="1" fontId="8" fillId="0" borderId="46" xfId="61" applyNumberFormat="1" applyFont="1" applyBorder="1"/>
    <xf numFmtId="1" fontId="55" fillId="33" borderId="0" xfId="61" applyNumberFormat="1" applyFont="1" applyFill="1" applyAlignment="1">
      <alignment horizontal="center"/>
    </xf>
    <xf numFmtId="0" fontId="54" fillId="33" borderId="0" xfId="0" applyFont="1" applyFill="1" applyAlignment="1">
      <alignment horizontal="center"/>
    </xf>
    <xf numFmtId="1" fontId="5" fillId="33" borderId="12" xfId="62" applyNumberFormat="1" applyFont="1" applyFill="1" applyBorder="1" applyAlignment="1">
      <alignment horizontal="center" wrapText="1"/>
    </xf>
    <xf numFmtId="0" fontId="9" fillId="0" borderId="0" xfId="0" applyFont="1" applyAlignment="1">
      <alignment horizontal="center"/>
    </xf>
    <xf numFmtId="0" fontId="5" fillId="33" borderId="12" xfId="62" applyFont="1" applyFill="1" applyBorder="1" applyAlignment="1">
      <alignment horizontal="center" wrapText="1"/>
    </xf>
    <xf numFmtId="0" fontId="9" fillId="0" borderId="0" xfId="0" applyFont="1" applyAlignment="1">
      <alignment horizontal="left"/>
    </xf>
    <xf numFmtId="9" fontId="0" fillId="0" borderId="0" xfId="0" applyNumberFormat="1" applyAlignment="1">
      <alignment horizontal="center"/>
    </xf>
    <xf numFmtId="1" fontId="0" fillId="0" borderId="0" xfId="0" applyNumberFormat="1" applyAlignment="1">
      <alignment horizontal="center"/>
    </xf>
    <xf numFmtId="1" fontId="0" fillId="0" borderId="46" xfId="0" applyNumberFormat="1" applyBorder="1" applyAlignment="1">
      <alignment horizontal="center"/>
    </xf>
    <xf numFmtId="0" fontId="0" fillId="41" borderId="0" xfId="0" applyFill="1"/>
    <xf numFmtId="0" fontId="0" fillId="41" borderId="0" xfId="0" applyFill="1" applyAlignment="1">
      <alignment horizontal="center"/>
    </xf>
    <xf numFmtId="164" fontId="0" fillId="41" borderId="0" xfId="0" applyNumberFormat="1" applyFill="1" applyAlignment="1">
      <alignment horizontal="center"/>
    </xf>
    <xf numFmtId="0" fontId="0" fillId="38" borderId="0" xfId="0" applyFill="1"/>
    <xf numFmtId="0" fontId="0" fillId="38" borderId="0" xfId="0" applyFill="1" applyAlignment="1">
      <alignment horizontal="center"/>
    </xf>
    <xf numFmtId="164" fontId="0" fillId="38" borderId="0" xfId="0" applyNumberFormat="1" applyFill="1" applyAlignment="1">
      <alignment horizontal="center"/>
    </xf>
    <xf numFmtId="1" fontId="0" fillId="0" borderId="18" xfId="0" applyNumberFormat="1" applyBorder="1" applyAlignment="1">
      <alignment horizontal="center"/>
    </xf>
    <xf numFmtId="0" fontId="48" fillId="43" borderId="21" xfId="0" applyFont="1" applyFill="1" applyBorder="1" applyAlignment="1">
      <alignment horizontal="centerContinuous"/>
    </xf>
    <xf numFmtId="0" fontId="48" fillId="43" borderId="55" xfId="0" applyFont="1" applyFill="1" applyBorder="1" applyAlignment="1">
      <alignment horizontal="centerContinuous"/>
    </xf>
    <xf numFmtId="0" fontId="48" fillId="43" borderId="55" xfId="0" quotePrefix="1" applyFont="1" applyFill="1" applyBorder="1" applyAlignment="1">
      <alignment horizontal="centerContinuous"/>
    </xf>
    <xf numFmtId="0" fontId="66" fillId="43" borderId="55" xfId="0" applyFont="1" applyFill="1" applyBorder="1" applyAlignment="1">
      <alignment horizontal="centerContinuous"/>
    </xf>
    <xf numFmtId="0" fontId="48" fillId="43" borderId="22" xfId="0" applyFont="1" applyFill="1" applyBorder="1" applyAlignment="1">
      <alignment horizontal="centerContinuous"/>
    </xf>
    <xf numFmtId="0" fontId="19" fillId="0" borderId="0" xfId="0" applyFont="1"/>
    <xf numFmtId="0" fontId="48" fillId="0" borderId="0" xfId="0" applyFont="1" applyAlignment="1">
      <alignment horizontal="centerContinuous"/>
    </xf>
    <xf numFmtId="0" fontId="48" fillId="0" borderId="0" xfId="0" quotePrefix="1" applyFont="1" applyAlignment="1">
      <alignment horizontal="centerContinuous"/>
    </xf>
    <xf numFmtId="0" fontId="19" fillId="0" borderId="0" xfId="0" applyFont="1" applyAlignment="1">
      <alignment horizontal="left"/>
    </xf>
    <xf numFmtId="0" fontId="19" fillId="43" borderId="23" xfId="0" applyFont="1" applyFill="1" applyBorder="1" applyAlignment="1">
      <alignment horizontal="left"/>
    </xf>
    <xf numFmtId="0" fontId="19" fillId="43" borderId="24" xfId="0" applyFont="1" applyFill="1" applyBorder="1"/>
    <xf numFmtId="0" fontId="19" fillId="43" borderId="25" xfId="0" applyFont="1" applyFill="1" applyBorder="1"/>
    <xf numFmtId="0" fontId="46" fillId="0" borderId="0" xfId="0" applyFont="1"/>
    <xf numFmtId="0" fontId="12" fillId="0" borderId="0" xfId="53"/>
    <xf numFmtId="0" fontId="68" fillId="43" borderId="23" xfId="53" applyFont="1" applyFill="1" applyBorder="1" applyAlignment="1">
      <alignment horizontal="right"/>
    </xf>
    <xf numFmtId="0" fontId="68" fillId="43" borderId="24" xfId="53" applyFont="1" applyFill="1" applyBorder="1" applyAlignment="1">
      <alignment horizontal="right"/>
    </xf>
    <xf numFmtId="0" fontId="68" fillId="43" borderId="25" xfId="53" applyFont="1" applyFill="1" applyBorder="1" applyAlignment="1">
      <alignment horizontal="right"/>
    </xf>
    <xf numFmtId="0" fontId="4" fillId="43" borderId="26" xfId="0" applyFont="1" applyFill="1" applyBorder="1"/>
    <xf numFmtId="0" fontId="4" fillId="43" borderId="0" xfId="0" applyFont="1" applyFill="1"/>
    <xf numFmtId="0" fontId="4" fillId="43" borderId="27" xfId="0" applyFont="1" applyFill="1" applyBorder="1"/>
    <xf numFmtId="0" fontId="69" fillId="43" borderId="26" xfId="53" applyFont="1" applyFill="1" applyBorder="1"/>
    <xf numFmtId="0" fontId="69" fillId="43" borderId="0" xfId="53" applyFont="1" applyFill="1"/>
    <xf numFmtId="0" fontId="69" fillId="43" borderId="27" xfId="53" applyFont="1" applyFill="1" applyBorder="1"/>
    <xf numFmtId="0" fontId="8" fillId="0" borderId="0" xfId="0" quotePrefix="1" applyFont="1" applyAlignment="1">
      <alignment horizontal="left"/>
    </xf>
    <xf numFmtId="174" fontId="69" fillId="43" borderId="0" xfId="53" applyNumberFormat="1" applyFont="1" applyFill="1"/>
    <xf numFmtId="174" fontId="69" fillId="43" borderId="27" xfId="53" applyNumberFormat="1" applyFont="1" applyFill="1" applyBorder="1"/>
    <xf numFmtId="0" fontId="8" fillId="43" borderId="23" xfId="0" applyFont="1" applyFill="1" applyBorder="1"/>
    <xf numFmtId="0" fontId="8" fillId="43" borderId="24" xfId="0" applyFont="1" applyFill="1" applyBorder="1" applyAlignment="1">
      <alignment horizontal="left"/>
    </xf>
    <xf numFmtId="0" fontId="8" fillId="43" borderId="24" xfId="0" applyFont="1" applyFill="1" applyBorder="1"/>
    <xf numFmtId="0" fontId="4" fillId="43" borderId="24" xfId="0" applyFont="1" applyFill="1" applyBorder="1"/>
    <xf numFmtId="0" fontId="8" fillId="43" borderId="25" xfId="0" applyFont="1" applyFill="1" applyBorder="1"/>
    <xf numFmtId="0" fontId="8" fillId="43" borderId="26" xfId="0" applyFont="1" applyFill="1" applyBorder="1"/>
    <xf numFmtId="0" fontId="8" fillId="43" borderId="0" xfId="0" applyFont="1" applyFill="1"/>
    <xf numFmtId="0" fontId="8" fillId="43" borderId="0" xfId="0" applyFont="1" applyFill="1" applyAlignment="1">
      <alignment horizontal="right"/>
    </xf>
    <xf numFmtId="0" fontId="8" fillId="43" borderId="27" xfId="0" applyFont="1" applyFill="1" applyBorder="1"/>
    <xf numFmtId="174" fontId="4" fillId="43" borderId="0" xfId="0" applyNumberFormat="1" applyFont="1" applyFill="1"/>
    <xf numFmtId="174" fontId="4" fillId="43" borderId="27" xfId="0" applyNumberFormat="1" applyFont="1" applyFill="1" applyBorder="1"/>
    <xf numFmtId="0" fontId="4" fillId="0" borderId="0" xfId="53" applyFont="1"/>
    <xf numFmtId="175" fontId="46" fillId="43" borderId="26" xfId="0" applyNumberFormat="1" applyFont="1" applyFill="1" applyBorder="1"/>
    <xf numFmtId="169" fontId="46" fillId="43" borderId="0" xfId="0" applyNumberFormat="1" applyFont="1" applyFill="1" applyAlignment="1">
      <alignment horizontal="left"/>
    </xf>
    <xf numFmtId="169" fontId="61" fillId="43" borderId="0" xfId="0" applyNumberFormat="1" applyFont="1" applyFill="1" applyAlignment="1">
      <alignment horizontal="centerContinuous"/>
    </xf>
    <xf numFmtId="0" fontId="61" fillId="43" borderId="0" xfId="0" applyFont="1" applyFill="1" applyAlignment="1">
      <alignment horizontal="centerContinuous"/>
    </xf>
    <xf numFmtId="0" fontId="46" fillId="43" borderId="0" xfId="0" applyFont="1" applyFill="1"/>
    <xf numFmtId="0" fontId="61" fillId="43" borderId="26" xfId="0" applyFont="1" applyFill="1" applyBorder="1" applyAlignment="1">
      <alignment horizontal="centerContinuous"/>
    </xf>
    <xf numFmtId="0" fontId="46" fillId="43" borderId="0" xfId="0" applyFont="1" applyFill="1" applyAlignment="1">
      <alignment horizontal="centerContinuous"/>
    </xf>
    <xf numFmtId="0" fontId="46" fillId="43" borderId="27" xfId="0" applyFont="1" applyFill="1" applyBorder="1"/>
    <xf numFmtId="0" fontId="61" fillId="43" borderId="0" xfId="0" applyFont="1" applyFill="1"/>
    <xf numFmtId="169" fontId="61" fillId="43" borderId="0" xfId="0" applyNumberFormat="1" applyFont="1" applyFill="1" applyAlignment="1">
      <alignment horizontal="right"/>
    </xf>
    <xf numFmtId="169" fontId="61" fillId="43" borderId="0" xfId="0" quotePrefix="1" applyNumberFormat="1" applyFont="1" applyFill="1" applyAlignment="1">
      <alignment horizontal="right"/>
    </xf>
    <xf numFmtId="0" fontId="61" fillId="43" borderId="0" xfId="0" applyFont="1" applyFill="1" applyAlignment="1">
      <alignment horizontal="left"/>
    </xf>
    <xf numFmtId="169" fontId="61" fillId="43" borderId="26" xfId="0" applyNumberFormat="1" applyFont="1" applyFill="1" applyBorder="1" applyAlignment="1">
      <alignment horizontal="right"/>
    </xf>
    <xf numFmtId="0" fontId="61" fillId="43" borderId="0" xfId="0" applyFont="1" applyFill="1" applyAlignment="1">
      <alignment horizontal="right"/>
    </xf>
    <xf numFmtId="0" fontId="4" fillId="0" borderId="0" xfId="0" applyFont="1" applyAlignment="1">
      <alignment horizontal="left"/>
    </xf>
    <xf numFmtId="174" fontId="4" fillId="0" borderId="0" xfId="0" applyNumberFormat="1" applyFont="1"/>
    <xf numFmtId="175" fontId="46" fillId="43" borderId="23" xfId="0" applyNumberFormat="1" applyFont="1" applyFill="1" applyBorder="1" applyAlignment="1">
      <alignment horizontal="fill"/>
    </xf>
    <xf numFmtId="175" fontId="46" fillId="43" borderId="24" xfId="0" applyNumberFormat="1" applyFont="1" applyFill="1" applyBorder="1" applyAlignment="1">
      <alignment horizontal="fill"/>
    </xf>
    <xf numFmtId="175" fontId="46" fillId="43" borderId="25" xfId="0" applyNumberFormat="1" applyFont="1" applyFill="1" applyBorder="1" applyAlignment="1">
      <alignment horizontal="fill"/>
    </xf>
    <xf numFmtId="1" fontId="46" fillId="43" borderId="0" xfId="0" applyNumberFormat="1" applyFont="1" applyFill="1" applyAlignment="1">
      <alignment horizontal="center"/>
    </xf>
    <xf numFmtId="176" fontId="70" fillId="44" borderId="0" xfId="85" applyNumberFormat="1" applyFont="1" applyFill="1"/>
    <xf numFmtId="164" fontId="46" fillId="43" borderId="0" xfId="0" applyNumberFormat="1" applyFont="1" applyFill="1"/>
    <xf numFmtId="164" fontId="46" fillId="43" borderId="27" xfId="0" applyNumberFormat="1" applyFont="1" applyFill="1" applyBorder="1"/>
    <xf numFmtId="164" fontId="46" fillId="0" borderId="0" xfId="0" applyNumberFormat="1" applyFont="1"/>
    <xf numFmtId="170" fontId="4" fillId="0" borderId="0" xfId="0" applyNumberFormat="1" applyFont="1"/>
    <xf numFmtId="0" fontId="46" fillId="43" borderId="26" xfId="0" applyFont="1" applyFill="1" applyBorder="1"/>
    <xf numFmtId="0" fontId="46" fillId="43" borderId="0" xfId="0" applyFont="1" applyFill="1" applyAlignment="1">
      <alignment horizontal="left"/>
    </xf>
    <xf numFmtId="169" fontId="4" fillId="0" borderId="0" xfId="0" applyNumberFormat="1" applyFont="1"/>
    <xf numFmtId="176" fontId="4" fillId="0" borderId="0" xfId="89" applyNumberFormat="1" applyFont="1"/>
    <xf numFmtId="0" fontId="46" fillId="43" borderId="26" xfId="0" quotePrefix="1" applyFont="1" applyFill="1" applyBorder="1"/>
    <xf numFmtId="164" fontId="46" fillId="43" borderId="0" xfId="0" quotePrefix="1" applyNumberFormat="1" applyFont="1" applyFill="1"/>
    <xf numFmtId="0" fontId="61" fillId="43" borderId="26" xfId="0" applyFont="1" applyFill="1" applyBorder="1" applyAlignment="1">
      <alignment horizontal="right"/>
    </xf>
    <xf numFmtId="0" fontId="46" fillId="43" borderId="26" xfId="0" applyFont="1" applyFill="1" applyBorder="1" applyAlignment="1">
      <alignment horizontal="left"/>
    </xf>
    <xf numFmtId="169" fontId="46" fillId="43" borderId="0" xfId="0" applyNumberFormat="1" applyFont="1" applyFill="1" applyAlignment="1">
      <alignment horizontal="center"/>
    </xf>
    <xf numFmtId="0" fontId="72" fillId="43" borderId="26" xfId="0" applyFont="1" applyFill="1" applyBorder="1"/>
    <xf numFmtId="3" fontId="46" fillId="43" borderId="0" xfId="0" applyNumberFormat="1" applyFont="1" applyFill="1"/>
    <xf numFmtId="3" fontId="46" fillId="43" borderId="27" xfId="0" applyNumberFormat="1" applyFont="1" applyFill="1" applyBorder="1"/>
    <xf numFmtId="0" fontId="8" fillId="0" borderId="0" xfId="0" applyFont="1" applyAlignment="1">
      <alignment horizontal="right"/>
    </xf>
    <xf numFmtId="169" fontId="4" fillId="0" borderId="0" xfId="0" applyNumberFormat="1" applyFont="1" applyAlignment="1">
      <alignment horizontal="center"/>
    </xf>
    <xf numFmtId="3" fontId="4" fillId="0" borderId="0" xfId="0" applyNumberFormat="1" applyFont="1"/>
    <xf numFmtId="0" fontId="4" fillId="43" borderId="23" xfId="0" applyFont="1" applyFill="1" applyBorder="1"/>
    <xf numFmtId="0" fontId="4" fillId="43" borderId="24" xfId="0" applyFont="1" applyFill="1" applyBorder="1" applyAlignment="1">
      <alignment horizontal="left"/>
    </xf>
    <xf numFmtId="1" fontId="4" fillId="43" borderId="24" xfId="0" applyNumberFormat="1" applyFont="1" applyFill="1" applyBorder="1" applyAlignment="1">
      <alignment horizontal="center"/>
    </xf>
    <xf numFmtId="3" fontId="4" fillId="43" borderId="24" xfId="0" applyNumberFormat="1" applyFont="1" applyFill="1" applyBorder="1"/>
    <xf numFmtId="3" fontId="4" fillId="43" borderId="25" xfId="0" applyNumberFormat="1" applyFont="1" applyFill="1" applyBorder="1"/>
    <xf numFmtId="0" fontId="4" fillId="43" borderId="0" xfId="0" applyFont="1" applyFill="1" applyAlignment="1">
      <alignment horizontal="left"/>
    </xf>
    <xf numFmtId="1" fontId="4" fillId="43" borderId="0" xfId="0" applyNumberFormat="1" applyFont="1" applyFill="1" applyAlignment="1">
      <alignment horizontal="center"/>
    </xf>
    <xf numFmtId="3" fontId="4" fillId="43" borderId="0" xfId="0" applyNumberFormat="1" applyFont="1" applyFill="1"/>
    <xf numFmtId="3" fontId="4" fillId="43" borderId="27" xfId="0" applyNumberFormat="1" applyFont="1" applyFill="1" applyBorder="1"/>
    <xf numFmtId="164" fontId="4" fillId="43" borderId="0" xfId="0" applyNumberFormat="1" applyFont="1" applyFill="1"/>
    <xf numFmtId="0" fontId="73" fillId="43" borderId="0" xfId="0" applyFont="1" applyFill="1"/>
    <xf numFmtId="0" fontId="73" fillId="43" borderId="27" xfId="0" applyFont="1" applyFill="1" applyBorder="1"/>
    <xf numFmtId="0" fontId="4" fillId="43" borderId="26" xfId="0" applyFont="1" applyFill="1" applyBorder="1" applyAlignment="1">
      <alignment horizontal="left"/>
    </xf>
    <xf numFmtId="0" fontId="5" fillId="0" borderId="0" xfId="0" applyFont="1" applyAlignment="1">
      <alignment horizontal="left"/>
    </xf>
    <xf numFmtId="0" fontId="46" fillId="37" borderId="0" xfId="0" applyFont="1" applyFill="1"/>
    <xf numFmtId="0" fontId="74" fillId="28" borderId="63" xfId="0" applyFont="1" applyFill="1" applyBorder="1" applyAlignment="1">
      <alignment horizontal="left"/>
    </xf>
    <xf numFmtId="0" fontId="61" fillId="28" borderId="64" xfId="0" applyFont="1" applyFill="1" applyBorder="1" applyAlignment="1">
      <alignment horizontal="centerContinuous"/>
    </xf>
    <xf numFmtId="0" fontId="61" fillId="28" borderId="64" xfId="0" quotePrefix="1" applyFont="1" applyFill="1" applyBorder="1" applyAlignment="1">
      <alignment horizontal="centerContinuous"/>
    </xf>
    <xf numFmtId="0" fontId="61" fillId="28" borderId="65" xfId="0" applyFont="1" applyFill="1" applyBorder="1" applyAlignment="1">
      <alignment horizontal="centerContinuous"/>
    </xf>
    <xf numFmtId="0" fontId="46" fillId="37" borderId="0" xfId="0" applyFont="1" applyFill="1" applyAlignment="1">
      <alignment horizontal="left"/>
    </xf>
    <xf numFmtId="0" fontId="75" fillId="37" borderId="0" xfId="0" applyFont="1" applyFill="1"/>
    <xf numFmtId="0" fontId="75" fillId="0" borderId="0" xfId="0" applyFont="1"/>
    <xf numFmtId="0" fontId="61" fillId="37" borderId="0" xfId="0" applyFont="1" applyFill="1"/>
    <xf numFmtId="0" fontId="74" fillId="28" borderId="36" xfId="0" quotePrefix="1" applyFont="1" applyFill="1" applyBorder="1" applyAlignment="1">
      <alignment horizontal="left"/>
    </xf>
    <xf numFmtId="0" fontId="61" fillId="28" borderId="46" xfId="0" applyFont="1" applyFill="1" applyBorder="1" applyAlignment="1">
      <alignment horizontal="centerContinuous"/>
    </xf>
    <xf numFmtId="0" fontId="61" fillId="28" borderId="46" xfId="0" quotePrefix="1" applyFont="1" applyFill="1" applyBorder="1" applyAlignment="1">
      <alignment horizontal="centerContinuous"/>
    </xf>
    <xf numFmtId="0" fontId="61" fillId="28" borderId="33" xfId="0" applyFont="1" applyFill="1" applyBorder="1" applyAlignment="1">
      <alignment horizontal="centerContinuous"/>
    </xf>
    <xf numFmtId="0" fontId="61" fillId="45" borderId="23" xfId="0" applyFont="1" applyFill="1" applyBorder="1" applyAlignment="1">
      <alignment horizontal="left"/>
    </xf>
    <xf numFmtId="0" fontId="61" fillId="45" borderId="24" xfId="0" applyFont="1" applyFill="1" applyBorder="1" applyAlignment="1">
      <alignment horizontal="centerContinuous"/>
    </xf>
    <xf numFmtId="0" fontId="61" fillId="45" borderId="24" xfId="0" quotePrefix="1" applyFont="1" applyFill="1" applyBorder="1" applyAlignment="1">
      <alignment horizontal="centerContinuous"/>
    </xf>
    <xf numFmtId="0" fontId="61" fillId="45" borderId="25" xfId="0" applyFont="1" applyFill="1" applyBorder="1" applyAlignment="1">
      <alignment horizontal="centerContinuous"/>
    </xf>
    <xf numFmtId="0" fontId="61" fillId="45" borderId="26" xfId="0" applyFont="1" applyFill="1" applyBorder="1" applyAlignment="1">
      <alignment horizontal="left"/>
    </xf>
    <xf numFmtId="0" fontId="61" fillId="45" borderId="0" xfId="0" applyFont="1" applyFill="1" applyAlignment="1">
      <alignment horizontal="centerContinuous"/>
    </xf>
    <xf numFmtId="0" fontId="61" fillId="45" borderId="0" xfId="0" quotePrefix="1" applyFont="1" applyFill="1" applyAlignment="1">
      <alignment horizontal="centerContinuous"/>
    </xf>
    <xf numFmtId="0" fontId="61" fillId="45" borderId="27" xfId="0" applyFont="1" applyFill="1" applyBorder="1" applyAlignment="1">
      <alignment horizontal="centerContinuous"/>
    </xf>
    <xf numFmtId="0" fontId="46" fillId="45" borderId="26" xfId="0" applyFont="1" applyFill="1" applyBorder="1"/>
    <xf numFmtId="0" fontId="61" fillId="45" borderId="0" xfId="0" applyFont="1" applyFill="1"/>
    <xf numFmtId="0" fontId="61" fillId="45" borderId="27" xfId="0" applyFont="1" applyFill="1" applyBorder="1"/>
    <xf numFmtId="0" fontId="5" fillId="37" borderId="0" xfId="0" applyFont="1" applyFill="1" applyAlignment="1">
      <alignment horizontal="right"/>
    </xf>
    <xf numFmtId="0" fontId="4" fillId="43" borderId="66" xfId="0" applyFont="1" applyFill="1" applyBorder="1"/>
    <xf numFmtId="0" fontId="4" fillId="43" borderId="67" xfId="0" applyFont="1" applyFill="1" applyBorder="1" applyAlignment="1">
      <alignment horizontal="left"/>
    </xf>
    <xf numFmtId="0" fontId="4" fillId="43" borderId="67" xfId="0" applyFont="1" applyFill="1" applyBorder="1"/>
    <xf numFmtId="0" fontId="4" fillId="43" borderId="68" xfId="0" applyFont="1" applyFill="1" applyBorder="1"/>
    <xf numFmtId="0" fontId="5" fillId="43" borderId="23" xfId="0" applyFont="1" applyFill="1" applyBorder="1" applyAlignment="1">
      <alignment horizontal="right"/>
    </xf>
    <xf numFmtId="0" fontId="5" fillId="43" borderId="24" xfId="0" applyFont="1" applyFill="1" applyBorder="1" applyAlignment="1">
      <alignment horizontal="right"/>
    </xf>
    <xf numFmtId="0" fontId="5" fillId="43" borderId="25" xfId="0" applyFont="1" applyFill="1" applyBorder="1" applyAlignment="1">
      <alignment horizontal="right"/>
    </xf>
    <xf numFmtId="0" fontId="8" fillId="37" borderId="0" xfId="0" applyFont="1" applyFill="1"/>
    <xf numFmtId="0" fontId="4" fillId="43" borderId="0" xfId="0" applyFont="1" applyFill="1" applyAlignment="1">
      <alignment horizontal="center"/>
    </xf>
    <xf numFmtId="0" fontId="4" fillId="37" borderId="0" xfId="0" applyFont="1" applyFill="1"/>
    <xf numFmtId="0" fontId="69" fillId="37" borderId="0" xfId="0" applyFont="1" applyFill="1"/>
    <xf numFmtId="0" fontId="69" fillId="0" borderId="0" xfId="0" applyFont="1"/>
    <xf numFmtId="2" fontId="4" fillId="43" borderId="0" xfId="0" applyNumberFormat="1" applyFont="1" applyFill="1"/>
    <xf numFmtId="10" fontId="4" fillId="43" borderId="0" xfId="0" applyNumberFormat="1" applyFont="1" applyFill="1"/>
    <xf numFmtId="170" fontId="4" fillId="43" borderId="0" xfId="0" applyNumberFormat="1" applyFont="1" applyFill="1" applyAlignment="1">
      <alignment horizontal="left"/>
    </xf>
    <xf numFmtId="170" fontId="4" fillId="43" borderId="0" xfId="0" applyNumberFormat="1" applyFont="1" applyFill="1"/>
    <xf numFmtId="0" fontId="4" fillId="43" borderId="27" xfId="0" applyFont="1" applyFill="1" applyBorder="1" applyAlignment="1">
      <alignment horizontal="left"/>
    </xf>
    <xf numFmtId="0" fontId="4" fillId="37" borderId="0" xfId="0" applyFont="1" applyFill="1" applyAlignment="1">
      <alignment horizontal="right"/>
    </xf>
    <xf numFmtId="175" fontId="8" fillId="37" borderId="69" xfId="0" applyNumberFormat="1" applyFont="1" applyFill="1" applyBorder="1" applyAlignment="1">
      <alignment horizontal="left"/>
    </xf>
    <xf numFmtId="175" fontId="8" fillId="37" borderId="69" xfId="0" applyNumberFormat="1" applyFont="1" applyFill="1" applyBorder="1"/>
    <xf numFmtId="0" fontId="8" fillId="37" borderId="69" xfId="0" applyFont="1" applyFill="1" applyBorder="1"/>
    <xf numFmtId="175" fontId="46" fillId="37" borderId="0" xfId="0" applyNumberFormat="1" applyFont="1" applyFill="1" applyAlignment="1">
      <alignment horizontal="fill"/>
    </xf>
    <xf numFmtId="175" fontId="46" fillId="37" borderId="0" xfId="0" applyNumberFormat="1" applyFont="1" applyFill="1" applyAlignment="1">
      <alignment horizontal="center"/>
    </xf>
    <xf numFmtId="175" fontId="46" fillId="28" borderId="26" xfId="0" applyNumberFormat="1" applyFont="1" applyFill="1" applyBorder="1"/>
    <xf numFmtId="0" fontId="61" fillId="28" borderId="0" xfId="0" applyFont="1" applyFill="1"/>
    <xf numFmtId="169" fontId="61" fillId="28" borderId="0" xfId="0" applyNumberFormat="1" applyFont="1" applyFill="1" applyAlignment="1">
      <alignment horizontal="right"/>
    </xf>
    <xf numFmtId="0" fontId="61" fillId="28" borderId="0" xfId="0" applyFont="1" applyFill="1" applyAlignment="1">
      <alignment horizontal="left"/>
    </xf>
    <xf numFmtId="169" fontId="61" fillId="28" borderId="26" xfId="0" applyNumberFormat="1" applyFont="1" applyFill="1" applyBorder="1" applyAlignment="1">
      <alignment horizontal="right"/>
    </xf>
    <xf numFmtId="0" fontId="61" fillId="28" borderId="0" xfId="0" applyFont="1" applyFill="1" applyAlignment="1">
      <alignment horizontal="right"/>
    </xf>
    <xf numFmtId="0" fontId="46" fillId="28" borderId="27" xfId="0" applyFont="1" applyFill="1" applyBorder="1"/>
    <xf numFmtId="170" fontId="46" fillId="37" borderId="0" xfId="0" applyNumberFormat="1" applyFont="1" applyFill="1"/>
    <xf numFmtId="169" fontId="20" fillId="43" borderId="0" xfId="0" quotePrefix="1" applyNumberFormat="1" applyFont="1" applyFill="1" applyAlignment="1">
      <alignment horizontal="left"/>
    </xf>
    <xf numFmtId="169" fontId="20" fillId="43" borderId="0" xfId="0" applyNumberFormat="1" applyFont="1" applyFill="1" applyAlignment="1">
      <alignment horizontal="left"/>
    </xf>
    <xf numFmtId="0" fontId="20" fillId="43" borderId="0" xfId="0" applyFont="1" applyFill="1"/>
    <xf numFmtId="3" fontId="20" fillId="43" borderId="0" xfId="0" applyNumberFormat="1" applyFont="1" applyFill="1"/>
    <xf numFmtId="3" fontId="20" fillId="43" borderId="26" xfId="0" applyNumberFormat="1" applyFont="1" applyFill="1" applyBorder="1"/>
    <xf numFmtId="0" fontId="20" fillId="43" borderId="0" xfId="0" applyFont="1" applyFill="1" applyAlignment="1">
      <alignment horizontal="left"/>
    </xf>
    <xf numFmtId="3" fontId="46" fillId="37" borderId="0" xfId="0" applyNumberFormat="1" applyFont="1" applyFill="1"/>
    <xf numFmtId="169" fontId="46" fillId="37" borderId="0" xfId="0" applyNumberFormat="1" applyFont="1" applyFill="1"/>
    <xf numFmtId="0" fontId="20" fillId="43" borderId="18" xfId="0" applyFont="1" applyFill="1" applyBorder="1" applyAlignment="1">
      <alignment horizontal="left"/>
    </xf>
    <xf numFmtId="0" fontId="20" fillId="43" borderId="18" xfId="0" applyFont="1" applyFill="1" applyBorder="1"/>
    <xf numFmtId="3" fontId="20" fillId="43" borderId="18" xfId="0" applyNumberFormat="1" applyFont="1" applyFill="1" applyBorder="1"/>
    <xf numFmtId="3" fontId="20" fillId="43" borderId="71" xfId="0" applyNumberFormat="1" applyFont="1" applyFill="1" applyBorder="1"/>
    <xf numFmtId="3" fontId="20" fillId="43" borderId="27" xfId="0" applyNumberFormat="1" applyFont="1" applyFill="1" applyBorder="1"/>
    <xf numFmtId="0" fontId="63" fillId="0" borderId="0" xfId="0" applyFont="1" applyAlignment="1">
      <alignment horizontal="center" vertical="center" wrapText="1"/>
    </xf>
    <xf numFmtId="0" fontId="63" fillId="0" borderId="0" xfId="0" applyFont="1" applyAlignment="1">
      <alignment horizontal="center" wrapText="1"/>
    </xf>
    <xf numFmtId="0" fontId="0" fillId="0" borderId="12" xfId="0" applyBorder="1" applyAlignment="1">
      <alignment horizontal="left"/>
    </xf>
    <xf numFmtId="0" fontId="4" fillId="0" borderId="0" xfId="61" applyFont="1" applyAlignment="1">
      <alignment horizontal="center" vertical="center" wrapText="1"/>
    </xf>
    <xf numFmtId="0" fontId="76" fillId="0" borderId="12" xfId="0" applyFont="1" applyBorder="1" applyAlignment="1">
      <alignment horizontal="center"/>
    </xf>
    <xf numFmtId="0" fontId="76" fillId="0" borderId="12" xfId="0" applyFont="1" applyBorder="1" applyAlignment="1">
      <alignment horizontal="center" wrapText="1"/>
    </xf>
    <xf numFmtId="164" fontId="9" fillId="0" borderId="0" xfId="0" applyNumberFormat="1" applyFont="1" applyAlignment="1">
      <alignment horizontal="center"/>
    </xf>
    <xf numFmtId="0" fontId="54" fillId="0" borderId="0" xfId="0" applyFont="1" applyAlignment="1">
      <alignment horizontal="center" wrapText="1"/>
    </xf>
    <xf numFmtId="176" fontId="70" fillId="31" borderId="0" xfId="85" applyNumberFormat="1" applyFont="1" applyFill="1"/>
    <xf numFmtId="0" fontId="78" fillId="0" borderId="0" xfId="61" applyFont="1"/>
    <xf numFmtId="0" fontId="4" fillId="0" borderId="0" xfId="61" applyFont="1" applyAlignment="1">
      <alignment vertical="center" wrapText="1"/>
    </xf>
    <xf numFmtId="0" fontId="8" fillId="0" borderId="0" xfId="0" applyFont="1" applyAlignment="1">
      <alignment horizontal="center" wrapText="1"/>
    </xf>
    <xf numFmtId="0" fontId="0" fillId="30" borderId="0" xfId="0" applyFill="1" applyAlignment="1">
      <alignment horizontal="center"/>
    </xf>
    <xf numFmtId="0" fontId="0" fillId="0" borderId="12" xfId="0" applyBorder="1"/>
    <xf numFmtId="3" fontId="4" fillId="0" borderId="0" xfId="0" applyNumberFormat="1" applyFont="1" applyAlignment="1">
      <alignment horizontal="center"/>
    </xf>
    <xf numFmtId="0" fontId="0" fillId="30" borderId="0" xfId="0" applyFill="1"/>
    <xf numFmtId="0" fontId="6" fillId="0" borderId="0" xfId="61" applyFont="1" applyAlignment="1">
      <alignment horizontal="center"/>
    </xf>
    <xf numFmtId="0" fontId="54" fillId="0" borderId="12" xfId="0" applyFont="1" applyBorder="1" applyAlignment="1">
      <alignment horizontal="center"/>
    </xf>
    <xf numFmtId="8" fontId="54" fillId="0" borderId="12" xfId="0" applyNumberFormat="1" applyFont="1" applyBorder="1" applyAlignment="1">
      <alignment horizontal="center"/>
    </xf>
    <xf numFmtId="3" fontId="79" fillId="43" borderId="0" xfId="0" applyNumberFormat="1" applyFont="1" applyFill="1"/>
    <xf numFmtId="0" fontId="4" fillId="0" borderId="0" xfId="61" applyFont="1" applyAlignment="1">
      <alignment horizontal="right"/>
    </xf>
    <xf numFmtId="0" fontId="55" fillId="0" borderId="0" xfId="0" applyFont="1" applyAlignment="1">
      <alignment horizontal="center"/>
    </xf>
    <xf numFmtId="3" fontId="8" fillId="0" borderId="0" xfId="61" applyNumberFormat="1" applyFont="1" applyAlignment="1">
      <alignment horizontal="center"/>
    </xf>
    <xf numFmtId="0" fontId="54" fillId="38" borderId="0" xfId="0" applyFont="1" applyFill="1" applyAlignment="1">
      <alignment horizontal="center"/>
    </xf>
    <xf numFmtId="0" fontId="54" fillId="38" borderId="0" xfId="0" applyFont="1" applyFill="1" applyAlignment="1">
      <alignment horizontal="center" wrapText="1"/>
    </xf>
    <xf numFmtId="0" fontId="54" fillId="38" borderId="0" xfId="0" applyFont="1" applyFill="1"/>
    <xf numFmtId="164" fontId="54" fillId="38" borderId="0" xfId="0" applyNumberFormat="1" applyFont="1" applyFill="1" applyAlignment="1">
      <alignment horizontal="center"/>
    </xf>
    <xf numFmtId="0" fontId="54" fillId="38" borderId="0" xfId="0" applyFont="1" applyFill="1" applyAlignment="1">
      <alignment wrapText="1"/>
    </xf>
    <xf numFmtId="0" fontId="4" fillId="0" borderId="0" xfId="0" applyFont="1" applyAlignment="1">
      <alignment horizontal="center" wrapText="1"/>
    </xf>
    <xf numFmtId="0" fontId="8" fillId="38" borderId="0" xfId="61" applyFont="1" applyFill="1" applyAlignment="1">
      <alignment horizontal="center" wrapText="1"/>
    </xf>
    <xf numFmtId="2" fontId="8" fillId="38" borderId="0" xfId="61" applyNumberFormat="1" applyFont="1" applyFill="1" applyAlignment="1">
      <alignment horizontal="center" wrapText="1"/>
    </xf>
    <xf numFmtId="0" fontId="8" fillId="38" borderId="0" xfId="61" applyFont="1" applyFill="1" applyAlignment="1">
      <alignment horizontal="center"/>
    </xf>
    <xf numFmtId="0" fontId="4" fillId="46" borderId="12" xfId="61" applyFont="1" applyFill="1" applyBorder="1" applyAlignment="1">
      <alignment horizontal="center"/>
    </xf>
    <xf numFmtId="0" fontId="4" fillId="46" borderId="0" xfId="61" applyFont="1" applyFill="1" applyAlignment="1">
      <alignment horizontal="center" wrapText="1"/>
    </xf>
    <xf numFmtId="0" fontId="4" fillId="46" borderId="12" xfId="61" applyFont="1" applyFill="1" applyBorder="1" applyAlignment="1">
      <alignment horizontal="center" wrapText="1"/>
    </xf>
    <xf numFmtId="0" fontId="4" fillId="41" borderId="12" xfId="61" applyFont="1" applyFill="1" applyBorder="1"/>
    <xf numFmtId="0" fontId="55" fillId="0" borderId="0" xfId="61" applyFont="1" applyAlignment="1">
      <alignment horizontal="left"/>
    </xf>
    <xf numFmtId="164" fontId="78" fillId="0" borderId="0" xfId="0" applyNumberFormat="1" applyFont="1" applyAlignment="1">
      <alignment horizontal="center"/>
    </xf>
    <xf numFmtId="0" fontId="54" fillId="31" borderId="0" xfId="0" applyFont="1" applyFill="1" applyAlignment="1">
      <alignment horizontal="center" wrapText="1"/>
    </xf>
    <xf numFmtId="164" fontId="54" fillId="31" borderId="0" xfId="0" applyNumberFormat="1" applyFont="1" applyFill="1" applyAlignment="1">
      <alignment horizontal="center"/>
    </xf>
    <xf numFmtId="0" fontId="54" fillId="31" borderId="0" xfId="0" applyFont="1" applyFill="1" applyAlignment="1">
      <alignment horizontal="center"/>
    </xf>
    <xf numFmtId="9" fontId="54" fillId="0" borderId="0" xfId="100" applyFont="1" applyAlignment="1">
      <alignment horizontal="center"/>
    </xf>
    <xf numFmtId="164" fontId="4" fillId="34" borderId="0" xfId="0" applyNumberFormat="1" applyFont="1" applyFill="1" applyAlignment="1">
      <alignment horizontal="center"/>
    </xf>
    <xf numFmtId="3" fontId="79" fillId="31" borderId="0" xfId="0" applyNumberFormat="1" applyFont="1" applyFill="1"/>
    <xf numFmtId="0" fontId="78" fillId="0" borderId="0" xfId="0" applyFont="1"/>
    <xf numFmtId="49" fontId="4" fillId="0" borderId="0" xfId="0" applyNumberFormat="1" applyFont="1" applyAlignment="1">
      <alignment horizontal="left"/>
    </xf>
    <xf numFmtId="164" fontId="81" fillId="0" borderId="0" xfId="61" applyNumberFormat="1" applyFont="1" applyAlignment="1">
      <alignment horizontal="center"/>
    </xf>
    <xf numFmtId="0" fontId="81" fillId="0" borderId="0" xfId="61" applyFont="1" applyAlignment="1">
      <alignment horizontal="center"/>
    </xf>
    <xf numFmtId="164" fontId="81" fillId="0" borderId="0" xfId="61" applyNumberFormat="1" applyFont="1" applyAlignment="1">
      <alignment horizontal="center" wrapText="1"/>
    </xf>
    <xf numFmtId="3" fontId="81" fillId="0" borderId="0" xfId="61" applyNumberFormat="1" applyFont="1" applyAlignment="1">
      <alignment horizontal="center"/>
    </xf>
    <xf numFmtId="0" fontId="18" fillId="0" borderId="0" xfId="0" applyFont="1" applyAlignment="1">
      <alignment horizontal="right"/>
    </xf>
    <xf numFmtId="164" fontId="0" fillId="0" borderId="28" xfId="0" applyNumberFormat="1" applyBorder="1" applyAlignment="1">
      <alignment horizontal="center"/>
    </xf>
    <xf numFmtId="8" fontId="54" fillId="0" borderId="0" xfId="0" applyNumberFormat="1" applyFont="1"/>
    <xf numFmtId="0" fontId="84" fillId="0" borderId="0" xfId="0" applyFont="1" applyProtection="1">
      <protection hidden="1"/>
    </xf>
    <xf numFmtId="0" fontId="84" fillId="0" borderId="36" xfId="0" applyFont="1" applyBorder="1" applyAlignment="1" applyProtection="1">
      <alignment horizontal="left"/>
      <protection hidden="1"/>
    </xf>
    <xf numFmtId="0" fontId="84" fillId="0" borderId="33" xfId="0" applyFont="1" applyBorder="1" applyAlignment="1" applyProtection="1">
      <alignment horizontal="left"/>
      <protection hidden="1"/>
    </xf>
    <xf numFmtId="0" fontId="84" fillId="0" borderId="0" xfId="0" applyFont="1" applyAlignment="1" applyProtection="1">
      <alignment horizontal="left"/>
      <protection hidden="1"/>
    </xf>
    <xf numFmtId="0" fontId="85" fillId="0" borderId="32" xfId="0" applyFont="1" applyBorder="1" applyAlignment="1" applyProtection="1">
      <alignment horizontal="left"/>
      <protection hidden="1"/>
    </xf>
    <xf numFmtId="0" fontId="84" fillId="0" borderId="34" xfId="0" applyFont="1" applyBorder="1" applyAlignment="1" applyProtection="1">
      <alignment horizontal="left"/>
      <protection hidden="1"/>
    </xf>
    <xf numFmtId="0" fontId="84" fillId="0" borderId="32" xfId="0" applyFont="1" applyBorder="1" applyAlignment="1" applyProtection="1">
      <alignment horizontal="left"/>
      <protection hidden="1"/>
    </xf>
    <xf numFmtId="0" fontId="86" fillId="0" borderId="32" xfId="0" applyFont="1" applyBorder="1" applyAlignment="1" applyProtection="1">
      <alignment horizontal="left"/>
      <protection hidden="1"/>
    </xf>
    <xf numFmtId="0" fontId="87" fillId="0" borderId="0" xfId="0" applyFont="1" applyAlignment="1" applyProtection="1">
      <alignment horizontal="left"/>
      <protection hidden="1"/>
    </xf>
    <xf numFmtId="0" fontId="88" fillId="0" borderId="32" xfId="0" applyFont="1" applyBorder="1" applyAlignment="1" applyProtection="1">
      <alignment horizontal="left"/>
      <protection hidden="1"/>
    </xf>
    <xf numFmtId="0" fontId="84" fillId="0" borderId="32" xfId="0" applyFont="1" applyBorder="1" applyAlignment="1" applyProtection="1">
      <alignment horizontal="left" wrapText="1"/>
      <protection hidden="1"/>
    </xf>
    <xf numFmtId="0" fontId="84" fillId="0" borderId="35" xfId="0" applyFont="1" applyBorder="1" applyAlignment="1" applyProtection="1">
      <alignment horizontal="left"/>
      <protection hidden="1"/>
    </xf>
    <xf numFmtId="0" fontId="84" fillId="0" borderId="0" xfId="0" applyFont="1" applyAlignment="1" applyProtection="1">
      <alignment vertical="top" wrapText="1"/>
      <protection hidden="1"/>
    </xf>
    <xf numFmtId="0" fontId="84" fillId="0" borderId="0" xfId="0" applyFont="1" applyAlignment="1" applyProtection="1">
      <alignment wrapText="1"/>
      <protection hidden="1"/>
    </xf>
    <xf numFmtId="0" fontId="84" fillId="0" borderId="0" xfId="59" applyFont="1" applyAlignment="1" applyProtection="1">
      <alignment horizontal="left"/>
      <protection hidden="1"/>
    </xf>
    <xf numFmtId="164" fontId="84" fillId="0" borderId="0" xfId="0" applyNumberFormat="1" applyFont="1" applyAlignment="1" applyProtection="1">
      <alignment horizontal="left"/>
      <protection hidden="1"/>
    </xf>
    <xf numFmtId="164" fontId="85" fillId="0" borderId="0" xfId="0" applyNumberFormat="1" applyFont="1" applyAlignment="1" applyProtection="1">
      <alignment horizontal="left"/>
      <protection hidden="1"/>
    </xf>
    <xf numFmtId="0" fontId="84" fillId="0" borderId="0" xfId="0" applyFont="1" applyAlignment="1" applyProtection="1">
      <alignment vertical="center" wrapText="1"/>
      <protection hidden="1"/>
    </xf>
    <xf numFmtId="0" fontId="84" fillId="0" borderId="0" xfId="0" applyFont="1" applyAlignment="1" applyProtection="1">
      <alignment horizontal="left" vertical="center" wrapText="1"/>
      <protection hidden="1"/>
    </xf>
    <xf numFmtId="0" fontId="85" fillId="0" borderId="0" xfId="59" applyFont="1" applyAlignment="1" applyProtection="1">
      <alignment horizontal="left"/>
      <protection hidden="1"/>
    </xf>
    <xf numFmtId="1" fontId="84" fillId="0" borderId="0" xfId="59" applyNumberFormat="1" applyFont="1" applyAlignment="1" applyProtection="1">
      <alignment horizontal="left"/>
      <protection hidden="1"/>
    </xf>
    <xf numFmtId="0" fontId="90" fillId="0" borderId="0" xfId="59" applyFont="1" applyAlignment="1" applyProtection="1">
      <alignment horizontal="left"/>
      <protection hidden="1"/>
    </xf>
    <xf numFmtId="170" fontId="85" fillId="0" borderId="0" xfId="0" applyNumberFormat="1" applyFont="1" applyAlignment="1" applyProtection="1">
      <alignment horizontal="left"/>
      <protection hidden="1"/>
    </xf>
    <xf numFmtId="0" fontId="84" fillId="33" borderId="0" xfId="59" applyFont="1" applyFill="1" applyAlignment="1" applyProtection="1">
      <alignment horizontal="left"/>
      <protection locked="0" hidden="1"/>
    </xf>
    <xf numFmtId="170" fontId="91" fillId="0" borderId="0" xfId="0" applyNumberFormat="1" applyFont="1" applyAlignment="1" applyProtection="1">
      <alignment horizontal="left"/>
      <protection hidden="1"/>
    </xf>
    <xf numFmtId="172" fontId="85" fillId="0" borderId="0" xfId="59" applyNumberFormat="1" applyFont="1" applyAlignment="1" applyProtection="1">
      <alignment horizontal="left"/>
      <protection hidden="1"/>
    </xf>
    <xf numFmtId="0" fontId="85" fillId="0" borderId="0" xfId="0" applyFont="1" applyAlignment="1" applyProtection="1">
      <alignment horizontal="left"/>
      <protection hidden="1"/>
    </xf>
    <xf numFmtId="3" fontId="84" fillId="0" borderId="0" xfId="59" applyNumberFormat="1" applyFont="1" applyAlignment="1" applyProtection="1">
      <alignment horizontal="left"/>
      <protection hidden="1"/>
    </xf>
    <xf numFmtId="164" fontId="84" fillId="0" borderId="3" xfId="0" applyNumberFormat="1" applyFont="1" applyBorder="1" applyAlignment="1" applyProtection="1">
      <alignment horizontal="left"/>
      <protection hidden="1"/>
    </xf>
    <xf numFmtId="164" fontId="84" fillId="0" borderId="3" xfId="59" applyNumberFormat="1" applyFont="1" applyBorder="1" applyAlignment="1" applyProtection="1">
      <alignment horizontal="left"/>
      <protection hidden="1"/>
    </xf>
    <xf numFmtId="164" fontId="84" fillId="0" borderId="0" xfId="59" applyNumberFormat="1" applyFont="1" applyAlignment="1" applyProtection="1">
      <alignment horizontal="left"/>
      <protection hidden="1"/>
    </xf>
    <xf numFmtId="164" fontId="85" fillId="0" borderId="12" xfId="59" applyNumberFormat="1" applyFont="1" applyBorder="1" applyAlignment="1" applyProtection="1">
      <alignment horizontal="left"/>
      <protection hidden="1"/>
    </xf>
    <xf numFmtId="164" fontId="85" fillId="37" borderId="47" xfId="59" applyNumberFormat="1" applyFont="1" applyFill="1" applyBorder="1" applyAlignment="1" applyProtection="1">
      <alignment horizontal="left"/>
      <protection hidden="1"/>
    </xf>
    <xf numFmtId="164" fontId="85" fillId="0" borderId="0" xfId="59" applyNumberFormat="1" applyFont="1" applyAlignment="1" applyProtection="1">
      <alignment horizontal="left"/>
      <protection hidden="1"/>
    </xf>
    <xf numFmtId="1" fontId="84" fillId="0" borderId="0" xfId="0" applyNumberFormat="1" applyFont="1" applyAlignment="1" applyProtection="1">
      <alignment horizontal="left"/>
      <protection hidden="1"/>
    </xf>
    <xf numFmtId="164" fontId="85" fillId="0" borderId="48" xfId="59" applyNumberFormat="1" applyFont="1" applyBorder="1" applyAlignment="1" applyProtection="1">
      <alignment horizontal="left"/>
      <protection hidden="1"/>
    </xf>
    <xf numFmtId="164" fontId="85" fillId="37" borderId="47" xfId="0" applyNumberFormat="1" applyFont="1" applyFill="1" applyBorder="1" applyAlignment="1" applyProtection="1">
      <alignment horizontal="left"/>
      <protection hidden="1"/>
    </xf>
    <xf numFmtId="164" fontId="89" fillId="0" borderId="0" xfId="0" applyNumberFormat="1" applyFont="1" applyAlignment="1" applyProtection="1">
      <alignment horizontal="left"/>
      <protection hidden="1"/>
    </xf>
    <xf numFmtId="164" fontId="92" fillId="0" borderId="0" xfId="0" applyNumberFormat="1" applyFont="1" applyAlignment="1" applyProtection="1">
      <alignment horizontal="left"/>
      <protection hidden="1"/>
    </xf>
    <xf numFmtId="164" fontId="85" fillId="0" borderId="3" xfId="0" applyNumberFormat="1" applyFont="1" applyBorder="1" applyAlignment="1" applyProtection="1">
      <alignment horizontal="left"/>
      <protection hidden="1"/>
    </xf>
    <xf numFmtId="164" fontId="84" fillId="0" borderId="39" xfId="59" applyNumberFormat="1" applyFont="1" applyBorder="1" applyAlignment="1" applyProtection="1">
      <alignment horizontal="left"/>
      <protection hidden="1"/>
    </xf>
    <xf numFmtId="0" fontId="85" fillId="0" borderId="38" xfId="59" applyFont="1" applyBorder="1" applyAlignment="1" applyProtection="1">
      <alignment horizontal="left"/>
      <protection hidden="1"/>
    </xf>
    <xf numFmtId="0" fontId="84" fillId="0" borderId="39" xfId="59" applyFont="1" applyBorder="1" applyAlignment="1" applyProtection="1">
      <alignment horizontal="left"/>
      <protection hidden="1"/>
    </xf>
    <xf numFmtId="164" fontId="84" fillId="0" borderId="58" xfId="59" applyNumberFormat="1" applyFont="1" applyBorder="1" applyAlignment="1" applyProtection="1">
      <alignment horizontal="left"/>
      <protection hidden="1"/>
    </xf>
    <xf numFmtId="164" fontId="84" fillId="0" borderId="60" xfId="59" applyNumberFormat="1" applyFont="1" applyBorder="1" applyAlignment="1" applyProtection="1">
      <alignment horizontal="left"/>
      <protection hidden="1"/>
    </xf>
    <xf numFmtId="164" fontId="85" fillId="0" borderId="38" xfId="59" applyNumberFormat="1" applyFont="1" applyBorder="1" applyAlignment="1" applyProtection="1">
      <alignment horizontal="left"/>
      <protection hidden="1"/>
    </xf>
    <xf numFmtId="0" fontId="84" fillId="0" borderId="45" xfId="59" applyFont="1" applyBorder="1" applyAlignment="1" applyProtection="1">
      <alignment horizontal="left"/>
      <protection hidden="1"/>
    </xf>
    <xf numFmtId="164" fontId="84" fillId="0" borderId="45" xfId="59" applyNumberFormat="1" applyFont="1" applyBorder="1" applyAlignment="1" applyProtection="1">
      <alignment horizontal="left"/>
      <protection hidden="1"/>
    </xf>
    <xf numFmtId="0" fontId="85" fillId="0" borderId="51" xfId="0" applyFont="1" applyBorder="1" applyAlignment="1" applyProtection="1">
      <alignment horizontal="left" vertical="center"/>
      <protection hidden="1"/>
    </xf>
    <xf numFmtId="0" fontId="85" fillId="0" borderId="24" xfId="0" applyFont="1" applyBorder="1" applyAlignment="1" applyProtection="1">
      <alignment horizontal="left" vertical="center"/>
      <protection hidden="1"/>
    </xf>
    <xf numFmtId="0" fontId="85" fillId="0" borderId="25" xfId="0" applyFont="1" applyBorder="1" applyAlignment="1" applyProtection="1">
      <alignment horizontal="left" vertical="center"/>
      <protection hidden="1"/>
    </xf>
    <xf numFmtId="0" fontId="85" fillId="0" borderId="30" xfId="0" applyFont="1" applyBorder="1" applyAlignment="1" applyProtection="1">
      <alignment horizontal="left" vertical="center"/>
      <protection hidden="1"/>
    </xf>
    <xf numFmtId="0" fontId="85" fillId="0" borderId="18" xfId="0" applyFont="1" applyBorder="1" applyAlignment="1" applyProtection="1">
      <alignment horizontal="left" vertical="center"/>
      <protection hidden="1"/>
    </xf>
    <xf numFmtId="0" fontId="85" fillId="0" borderId="50" xfId="0" applyFont="1" applyBorder="1" applyAlignment="1" applyProtection="1">
      <alignment horizontal="left" vertical="center"/>
      <protection hidden="1"/>
    </xf>
    <xf numFmtId="0" fontId="84" fillId="0" borderId="20" xfId="0" applyFont="1" applyBorder="1" applyAlignment="1" applyProtection="1">
      <alignment horizontal="left"/>
      <protection hidden="1"/>
    </xf>
    <xf numFmtId="0" fontId="84" fillId="0" borderId="3" xfId="0" applyFont="1" applyBorder="1" applyAlignment="1" applyProtection="1">
      <alignment horizontal="left"/>
      <protection hidden="1"/>
    </xf>
    <xf numFmtId="0" fontId="84" fillId="0" borderId="57" xfId="0" applyFont="1" applyBorder="1" applyAlignment="1" applyProtection="1">
      <alignment horizontal="left"/>
      <protection hidden="1"/>
    </xf>
    <xf numFmtId="0" fontId="96" fillId="0" borderId="20" xfId="0" applyFont="1" applyBorder="1" applyAlignment="1" applyProtection="1">
      <alignment horizontal="left"/>
      <protection hidden="1"/>
    </xf>
    <xf numFmtId="0" fontId="96" fillId="0" borderId="3" xfId="0" applyFont="1" applyBorder="1" applyAlignment="1" applyProtection="1">
      <alignment horizontal="left"/>
      <protection hidden="1"/>
    </xf>
    <xf numFmtId="0" fontId="96" fillId="0" borderId="57" xfId="0" applyFont="1" applyBorder="1" applyAlignment="1" applyProtection="1">
      <alignment horizontal="left"/>
      <protection hidden="1"/>
    </xf>
    <xf numFmtId="0" fontId="85" fillId="24" borderId="38" xfId="0" applyFont="1" applyFill="1" applyBorder="1" applyAlignment="1" applyProtection="1">
      <alignment horizontal="left" wrapText="1"/>
      <protection hidden="1"/>
    </xf>
    <xf numFmtId="0" fontId="84" fillId="0" borderId="40" xfId="0" applyFont="1" applyBorder="1" applyAlignment="1" applyProtection="1">
      <alignment horizontal="left"/>
      <protection hidden="1"/>
    </xf>
    <xf numFmtId="0" fontId="84" fillId="24" borderId="39" xfId="0" applyFont="1" applyFill="1" applyBorder="1" applyAlignment="1" applyProtection="1">
      <alignment horizontal="left"/>
      <protection hidden="1"/>
    </xf>
    <xf numFmtId="0" fontId="84" fillId="0" borderId="12" xfId="0" applyFont="1" applyBorder="1" applyAlignment="1" applyProtection="1">
      <alignment horizontal="left"/>
      <protection hidden="1"/>
    </xf>
    <xf numFmtId="0" fontId="97" fillId="0" borderId="0" xfId="0" applyFont="1" applyAlignment="1" applyProtection="1">
      <alignment horizontal="left"/>
      <protection hidden="1"/>
    </xf>
    <xf numFmtId="0" fontId="84" fillId="36" borderId="26" xfId="0" applyFont="1" applyFill="1" applyBorder="1" applyAlignment="1" applyProtection="1">
      <alignment horizontal="left"/>
      <protection hidden="1"/>
    </xf>
    <xf numFmtId="0" fontId="84" fillId="36" borderId="0" xfId="0" applyFont="1" applyFill="1" applyAlignment="1" applyProtection="1">
      <alignment horizontal="left"/>
      <protection hidden="1"/>
    </xf>
    <xf numFmtId="0" fontId="84" fillId="36" borderId="27" xfId="0" applyFont="1" applyFill="1" applyBorder="1" applyAlignment="1" applyProtection="1">
      <alignment horizontal="left"/>
      <protection hidden="1"/>
    </xf>
    <xf numFmtId="0" fontId="84" fillId="24" borderId="45" xfId="0" applyFont="1" applyFill="1" applyBorder="1" applyAlignment="1" applyProtection="1">
      <alignment horizontal="left"/>
      <protection hidden="1"/>
    </xf>
    <xf numFmtId="0" fontId="84" fillId="0" borderId="42" xfId="0" applyFont="1" applyBorder="1" applyAlignment="1" applyProtection="1">
      <alignment horizontal="left"/>
      <protection hidden="1"/>
    </xf>
    <xf numFmtId="0" fontId="84" fillId="0" borderId="3" xfId="0" applyFont="1" applyBorder="1" applyAlignment="1" applyProtection="1">
      <alignment horizontal="left" vertical="center" wrapText="1"/>
      <protection hidden="1"/>
    </xf>
    <xf numFmtId="0" fontId="96" fillId="0" borderId="20" xfId="0" applyFont="1" applyBorder="1" applyAlignment="1" applyProtection="1">
      <alignment horizontal="left" vertical="center" wrapText="1"/>
      <protection hidden="1"/>
    </xf>
    <xf numFmtId="0" fontId="96" fillId="0" borderId="3" xfId="0" applyFont="1" applyBorder="1" applyAlignment="1" applyProtection="1">
      <alignment horizontal="left" vertical="center" wrapText="1"/>
      <protection hidden="1"/>
    </xf>
    <xf numFmtId="0" fontId="96" fillId="0" borderId="52" xfId="0" applyFont="1" applyBorder="1" applyAlignment="1" applyProtection="1">
      <alignment horizontal="left" vertical="center" wrapText="1"/>
      <protection hidden="1"/>
    </xf>
    <xf numFmtId="0" fontId="84" fillId="0" borderId="3" xfId="0" applyFont="1" applyBorder="1" applyAlignment="1" applyProtection="1">
      <alignment horizontal="left" vertical="center"/>
      <protection hidden="1"/>
    </xf>
    <xf numFmtId="0" fontId="89" fillId="0" borderId="0" xfId="59" applyFont="1" applyAlignment="1" applyProtection="1">
      <alignment horizontal="left"/>
      <protection hidden="1"/>
    </xf>
    <xf numFmtId="6" fontId="84" fillId="0" borderId="0" xfId="59" applyNumberFormat="1" applyFont="1" applyAlignment="1" applyProtection="1">
      <alignment horizontal="left"/>
      <protection hidden="1"/>
    </xf>
    <xf numFmtId="164" fontId="84" fillId="36" borderId="0" xfId="59" applyNumberFormat="1" applyFont="1" applyFill="1" applyAlignment="1" applyProtection="1">
      <alignment horizontal="left"/>
      <protection hidden="1"/>
    </xf>
    <xf numFmtId="164" fontId="84" fillId="42" borderId="0" xfId="0" applyNumberFormat="1" applyFont="1" applyFill="1" applyAlignment="1" applyProtection="1">
      <alignment horizontal="left"/>
      <protection hidden="1"/>
    </xf>
    <xf numFmtId="166" fontId="84" fillId="0" borderId="0" xfId="0" applyNumberFormat="1" applyFont="1" applyAlignment="1" applyProtection="1">
      <alignment horizontal="left"/>
      <protection hidden="1"/>
    </xf>
    <xf numFmtId="166" fontId="84" fillId="0" borderId="0" xfId="59" applyNumberFormat="1" applyFont="1" applyAlignment="1" applyProtection="1">
      <alignment horizontal="left"/>
      <protection hidden="1"/>
    </xf>
    <xf numFmtId="3" fontId="84" fillId="0" borderId="0" xfId="0" applyNumberFormat="1" applyFont="1" applyAlignment="1" applyProtection="1">
      <alignment horizontal="left"/>
      <protection hidden="1"/>
    </xf>
    <xf numFmtId="0" fontId="87" fillId="0" borderId="0" xfId="59" applyFont="1" applyAlignment="1" applyProtection="1">
      <alignment horizontal="left"/>
      <protection hidden="1"/>
    </xf>
    <xf numFmtId="0" fontId="92" fillId="0" borderId="0" xfId="59" applyFont="1" applyAlignment="1" applyProtection="1">
      <alignment horizontal="left"/>
      <protection hidden="1"/>
    </xf>
    <xf numFmtId="164" fontId="93" fillId="0" borderId="0" xfId="0" applyNumberFormat="1" applyFont="1" applyAlignment="1" applyProtection="1">
      <alignment horizontal="left"/>
      <protection hidden="1"/>
    </xf>
    <xf numFmtId="164" fontId="94" fillId="0" borderId="0" xfId="0" applyNumberFormat="1" applyFont="1" applyAlignment="1" applyProtection="1">
      <alignment horizontal="left"/>
      <protection hidden="1"/>
    </xf>
    <xf numFmtId="164" fontId="84" fillId="0" borderId="0" xfId="59" applyNumberFormat="1" applyFont="1" applyAlignment="1" applyProtection="1">
      <alignment horizontal="left" wrapText="1"/>
      <protection hidden="1"/>
    </xf>
    <xf numFmtId="164" fontId="85" fillId="0" borderId="3" xfId="59" applyNumberFormat="1" applyFont="1" applyBorder="1" applyAlignment="1" applyProtection="1">
      <alignment horizontal="left"/>
      <protection hidden="1"/>
    </xf>
    <xf numFmtId="0" fontId="85" fillId="0" borderId="53" xfId="59" applyFont="1" applyBorder="1" applyAlignment="1" applyProtection="1">
      <alignment horizontal="left"/>
      <protection hidden="1"/>
    </xf>
    <xf numFmtId="0" fontId="84" fillId="0" borderId="16" xfId="0" applyFont="1" applyBorder="1" applyAlignment="1" applyProtection="1">
      <alignment horizontal="left"/>
      <protection hidden="1"/>
    </xf>
    <xf numFmtId="0" fontId="85" fillId="0" borderId="54" xfId="59" applyFont="1" applyBorder="1" applyAlignment="1" applyProtection="1">
      <alignment horizontal="left"/>
      <protection hidden="1"/>
    </xf>
    <xf numFmtId="164" fontId="84" fillId="0" borderId="40" xfId="59" applyNumberFormat="1" applyFont="1" applyBorder="1" applyAlignment="1" applyProtection="1">
      <alignment horizontal="left"/>
      <protection hidden="1"/>
    </xf>
    <xf numFmtId="164" fontId="85" fillId="0" borderId="41" xfId="59" applyNumberFormat="1" applyFont="1" applyBorder="1" applyAlignment="1" applyProtection="1">
      <alignment horizontal="left"/>
      <protection hidden="1"/>
    </xf>
    <xf numFmtId="164" fontId="84" fillId="0" borderId="12" xfId="59" applyNumberFormat="1" applyFont="1" applyBorder="1" applyAlignment="1" applyProtection="1">
      <alignment horizontal="left"/>
      <protection hidden="1"/>
    </xf>
    <xf numFmtId="9" fontId="85" fillId="0" borderId="37" xfId="59" applyNumberFormat="1" applyFont="1" applyBorder="1" applyAlignment="1" applyProtection="1">
      <alignment horizontal="left"/>
      <protection hidden="1"/>
    </xf>
    <xf numFmtId="0" fontId="84" fillId="0" borderId="0" xfId="0" applyFont="1" applyAlignment="1" applyProtection="1">
      <alignment horizontal="left" wrapText="1"/>
      <protection hidden="1"/>
    </xf>
    <xf numFmtId="164" fontId="95" fillId="0" borderId="0" xfId="0" applyNumberFormat="1" applyFont="1" applyAlignment="1">
      <alignment horizontal="left"/>
    </xf>
    <xf numFmtId="0" fontId="85" fillId="0" borderId="41" xfId="0" applyFont="1" applyBorder="1" applyAlignment="1" applyProtection="1">
      <alignment horizontal="left"/>
      <protection hidden="1"/>
    </xf>
    <xf numFmtId="164" fontId="92" fillId="0" borderId="0" xfId="61" applyNumberFormat="1" applyFont="1" applyAlignment="1">
      <alignment horizontal="left"/>
    </xf>
    <xf numFmtId="3" fontId="84" fillId="0" borderId="37" xfId="59" applyNumberFormat="1" applyFont="1" applyBorder="1" applyAlignment="1" applyProtection="1">
      <alignment horizontal="left"/>
      <protection hidden="1"/>
    </xf>
    <xf numFmtId="164" fontId="84" fillId="0" borderId="31" xfId="59" applyNumberFormat="1" applyFont="1" applyBorder="1" applyAlignment="1" applyProtection="1">
      <alignment horizontal="left"/>
      <protection hidden="1"/>
    </xf>
    <xf numFmtId="9" fontId="85" fillId="0" borderId="59" xfId="59" applyNumberFormat="1" applyFont="1" applyBorder="1" applyAlignment="1" applyProtection="1">
      <alignment horizontal="left"/>
      <protection hidden="1"/>
    </xf>
    <xf numFmtId="164" fontId="84" fillId="0" borderId="61" xfId="59" applyNumberFormat="1" applyFont="1" applyBorder="1" applyAlignment="1" applyProtection="1">
      <alignment horizontal="left"/>
      <protection hidden="1"/>
    </xf>
    <xf numFmtId="9" fontId="85" fillId="0" borderId="62" xfId="59" applyNumberFormat="1" applyFont="1" applyBorder="1" applyAlignment="1" applyProtection="1">
      <alignment horizontal="left"/>
      <protection hidden="1"/>
    </xf>
    <xf numFmtId="9" fontId="85" fillId="0" borderId="0" xfId="59" applyNumberFormat="1" applyFont="1" applyAlignment="1" applyProtection="1">
      <alignment horizontal="left"/>
      <protection hidden="1"/>
    </xf>
    <xf numFmtId="9" fontId="85" fillId="0" borderId="41" xfId="59" applyNumberFormat="1" applyFont="1" applyBorder="1" applyAlignment="1" applyProtection="1">
      <alignment horizontal="left"/>
      <protection hidden="1"/>
    </xf>
    <xf numFmtId="3" fontId="84" fillId="0" borderId="44" xfId="59" applyNumberFormat="1" applyFont="1" applyBorder="1" applyAlignment="1" applyProtection="1">
      <alignment horizontal="left"/>
      <protection hidden="1"/>
    </xf>
    <xf numFmtId="164" fontId="84" fillId="0" borderId="42" xfId="59" applyNumberFormat="1" applyFont="1" applyBorder="1" applyAlignment="1" applyProtection="1">
      <alignment horizontal="left"/>
      <protection hidden="1"/>
    </xf>
    <xf numFmtId="164" fontId="85" fillId="0" borderId="44" xfId="59" applyNumberFormat="1" applyFont="1" applyBorder="1" applyAlignment="1" applyProtection="1">
      <alignment horizontal="left"/>
      <protection hidden="1"/>
    </xf>
    <xf numFmtId="0" fontId="86" fillId="37" borderId="23" xfId="0" applyFont="1" applyFill="1" applyBorder="1" applyAlignment="1" applyProtection="1">
      <alignment horizontal="left"/>
      <protection hidden="1"/>
    </xf>
    <xf numFmtId="0" fontId="84" fillId="0" borderId="49" xfId="0" applyFont="1" applyBorder="1" applyAlignment="1" applyProtection="1">
      <alignment horizontal="left"/>
      <protection hidden="1"/>
    </xf>
    <xf numFmtId="0" fontId="85" fillId="37" borderId="26" xfId="0" applyFont="1" applyFill="1" applyBorder="1" applyAlignment="1" applyProtection="1">
      <alignment horizontal="left"/>
      <protection hidden="1"/>
    </xf>
    <xf numFmtId="0" fontId="84" fillId="0" borderId="15" xfId="0" applyFont="1" applyBorder="1" applyAlignment="1" applyProtection="1">
      <alignment horizontal="left"/>
      <protection hidden="1"/>
    </xf>
    <xf numFmtId="164" fontId="84" fillId="0" borderId="12" xfId="0" applyNumberFormat="1" applyFont="1" applyBorder="1" applyAlignment="1" applyProtection="1">
      <alignment horizontal="left"/>
      <protection hidden="1"/>
    </xf>
    <xf numFmtId="0" fontId="84" fillId="0" borderId="12" xfId="0" applyFont="1" applyBorder="1" applyAlignment="1" applyProtection="1">
      <alignment horizontal="left" wrapText="1"/>
      <protection hidden="1"/>
    </xf>
    <xf numFmtId="0" fontId="85" fillId="0" borderId="40" xfId="0" applyFont="1" applyBorder="1" applyAlignment="1" applyProtection="1">
      <alignment horizontal="left"/>
      <protection hidden="1"/>
    </xf>
    <xf numFmtId="0" fontId="85" fillId="0" borderId="40" xfId="0" applyFont="1" applyBorder="1" applyAlignment="1" applyProtection="1">
      <alignment horizontal="left" wrapText="1"/>
      <protection hidden="1"/>
    </xf>
    <xf numFmtId="164" fontId="84" fillId="0" borderId="0" xfId="61" applyNumberFormat="1" applyFont="1" applyAlignment="1" applyProtection="1">
      <alignment horizontal="left"/>
      <protection hidden="1"/>
    </xf>
    <xf numFmtId="164" fontId="84" fillId="36" borderId="0" xfId="0" applyNumberFormat="1" applyFont="1" applyFill="1" applyAlignment="1" applyProtection="1">
      <alignment horizontal="left"/>
      <protection hidden="1"/>
    </xf>
    <xf numFmtId="164" fontId="84" fillId="0" borderId="42" xfId="0" applyNumberFormat="1" applyFont="1" applyBorder="1" applyAlignment="1" applyProtection="1">
      <alignment horizontal="left"/>
      <protection hidden="1"/>
    </xf>
    <xf numFmtId="0" fontId="84" fillId="0" borderId="0" xfId="0" applyFont="1" applyAlignment="1" applyProtection="1">
      <alignment horizontal="left" vertical="center"/>
      <protection hidden="1"/>
    </xf>
    <xf numFmtId="0" fontId="96" fillId="0" borderId="3" xfId="0" applyFont="1" applyBorder="1" applyAlignment="1" applyProtection="1">
      <alignment horizontal="left" vertical="center"/>
      <protection hidden="1"/>
    </xf>
    <xf numFmtId="0" fontId="96" fillId="0" borderId="0" xfId="0" applyFont="1" applyAlignment="1" applyProtection="1">
      <alignment horizontal="left" vertical="center"/>
      <protection hidden="1"/>
    </xf>
    <xf numFmtId="0" fontId="84" fillId="0" borderId="0" xfId="59" applyFont="1" applyProtection="1">
      <protection hidden="1"/>
    </xf>
    <xf numFmtId="0" fontId="85" fillId="0" borderId="0" xfId="59" applyFont="1" applyProtection="1">
      <protection hidden="1"/>
    </xf>
    <xf numFmtId="169" fontId="84" fillId="0" borderId="0" xfId="0" applyNumberFormat="1" applyFont="1" applyProtection="1">
      <protection hidden="1"/>
    </xf>
    <xf numFmtId="3" fontId="84" fillId="0" borderId="0" xfId="59" applyNumberFormat="1" applyFont="1" applyProtection="1">
      <protection hidden="1"/>
    </xf>
    <xf numFmtId="166" fontId="84" fillId="0" borderId="0" xfId="59" applyNumberFormat="1" applyFont="1" applyProtection="1">
      <protection hidden="1"/>
    </xf>
    <xf numFmtId="1" fontId="84" fillId="0" borderId="0" xfId="0" applyNumberFormat="1" applyFont="1" applyProtection="1">
      <protection hidden="1"/>
    </xf>
    <xf numFmtId="0" fontId="86" fillId="0" borderId="0" xfId="0" applyFont="1" applyAlignment="1" applyProtection="1">
      <alignment horizontal="left"/>
      <protection hidden="1"/>
    </xf>
    <xf numFmtId="1" fontId="4" fillId="0" borderId="0" xfId="61" applyNumberFormat="1" applyFont="1" applyAlignment="1">
      <alignment vertical="center"/>
    </xf>
    <xf numFmtId="9" fontId="4" fillId="30" borderId="0" xfId="61" applyNumberFormat="1" applyFont="1" applyFill="1" applyAlignment="1">
      <alignment horizontal="center"/>
    </xf>
    <xf numFmtId="164" fontId="4" fillId="30" borderId="0" xfId="61" applyNumberFormat="1" applyFont="1" applyFill="1" applyAlignment="1">
      <alignment horizontal="center"/>
    </xf>
    <xf numFmtId="164" fontId="4" fillId="33" borderId="0" xfId="61" applyNumberFormat="1" applyFont="1" applyFill="1" applyAlignment="1">
      <alignment horizontal="center"/>
    </xf>
    <xf numFmtId="1" fontId="4" fillId="30" borderId="12" xfId="61" applyNumberFormat="1" applyFont="1" applyFill="1" applyBorder="1" applyAlignment="1">
      <alignment horizontal="center" wrapText="1"/>
    </xf>
    <xf numFmtId="0" fontId="4" fillId="38" borderId="0" xfId="61" applyFont="1" applyFill="1"/>
    <xf numFmtId="164" fontId="4" fillId="33" borderId="12" xfId="61" applyNumberFormat="1" applyFont="1" applyFill="1" applyBorder="1" applyAlignment="1">
      <alignment horizontal="center"/>
    </xf>
    <xf numFmtId="1" fontId="4" fillId="38" borderId="0" xfId="61" applyNumberFormat="1" applyFont="1" applyFill="1" applyAlignment="1">
      <alignment horizontal="center"/>
    </xf>
    <xf numFmtId="1" fontId="4" fillId="0" borderId="28" xfId="61" applyNumberFormat="1" applyFont="1" applyBorder="1" applyAlignment="1">
      <alignment horizontal="center"/>
    </xf>
    <xf numFmtId="164" fontId="4" fillId="33" borderId="28" xfId="61" applyNumberFormat="1" applyFont="1" applyFill="1" applyBorder="1"/>
    <xf numFmtId="164" fontId="4" fillId="33" borderId="28" xfId="61" applyNumberFormat="1" applyFont="1" applyFill="1" applyBorder="1" applyAlignment="1">
      <alignment horizontal="center"/>
    </xf>
    <xf numFmtId="164" fontId="4" fillId="0" borderId="28" xfId="61" applyNumberFormat="1" applyFont="1" applyBorder="1"/>
    <xf numFmtId="3" fontId="4" fillId="30" borderId="12" xfId="61" applyNumberFormat="1" applyFont="1" applyFill="1" applyBorder="1" applyAlignment="1">
      <alignment horizontal="center"/>
    </xf>
    <xf numFmtId="173" fontId="4" fillId="0" borderId="0" xfId="61" applyNumberFormat="1" applyFont="1"/>
    <xf numFmtId="171" fontId="4" fillId="0" borderId="12" xfId="61" applyNumberFormat="1" applyFont="1" applyBorder="1" applyAlignment="1">
      <alignment horizontal="left"/>
    </xf>
    <xf numFmtId="171" fontId="4" fillId="33" borderId="12" xfId="61" applyNumberFormat="1" applyFont="1" applyFill="1" applyBorder="1" applyAlignment="1">
      <alignment horizontal="left"/>
    </xf>
    <xf numFmtId="0" fontId="84" fillId="37" borderId="43" xfId="0" applyFont="1" applyFill="1" applyBorder="1" applyAlignment="1" applyProtection="1">
      <alignment horizontal="left"/>
      <protection hidden="1"/>
    </xf>
    <xf numFmtId="0" fontId="84" fillId="37" borderId="28" xfId="0" applyFont="1" applyFill="1" applyBorder="1" applyAlignment="1" applyProtection="1">
      <alignment horizontal="left"/>
      <protection hidden="1"/>
    </xf>
    <xf numFmtId="0" fontId="84" fillId="37" borderId="56" xfId="0" applyFont="1" applyFill="1" applyBorder="1" applyAlignment="1" applyProtection="1">
      <alignment horizontal="left"/>
      <protection hidden="1"/>
    </xf>
    <xf numFmtId="164" fontId="54" fillId="0" borderId="29" xfId="0" applyNumberFormat="1" applyFont="1" applyBorder="1" applyAlignment="1">
      <alignment horizontal="center"/>
    </xf>
    <xf numFmtId="0" fontId="54" fillId="0" borderId="15" xfId="0" applyFont="1" applyBorder="1"/>
    <xf numFmtId="166" fontId="54" fillId="0" borderId="15" xfId="0" applyNumberFormat="1" applyFont="1" applyBorder="1"/>
    <xf numFmtId="164" fontId="54" fillId="0" borderId="15" xfId="0" applyNumberFormat="1" applyFont="1" applyBorder="1" applyAlignment="1">
      <alignment horizontal="center"/>
    </xf>
    <xf numFmtId="0" fontId="54" fillId="0" borderId="31" xfId="0" applyFont="1" applyBorder="1"/>
    <xf numFmtId="0" fontId="54" fillId="0" borderId="29" xfId="0" applyFont="1" applyBorder="1"/>
    <xf numFmtId="0" fontId="55" fillId="0" borderId="0" xfId="0" applyFont="1" applyAlignment="1">
      <alignment horizontal="left" wrapText="1"/>
    </xf>
    <xf numFmtId="3" fontId="0" fillId="33" borderId="0" xfId="0" applyNumberFormat="1" applyFill="1" applyAlignment="1">
      <alignment horizontal="center"/>
    </xf>
    <xf numFmtId="1" fontId="0" fillId="33" borderId="0" xfId="0" applyNumberFormat="1" applyFill="1" applyAlignment="1">
      <alignment horizontal="center"/>
    </xf>
    <xf numFmtId="164" fontId="4" fillId="32" borderId="0" xfId="0" applyNumberFormat="1" applyFont="1" applyFill="1" applyAlignment="1">
      <alignment horizontal="center"/>
    </xf>
    <xf numFmtId="0" fontId="55" fillId="0" borderId="0" xfId="0" applyFont="1" applyAlignment="1">
      <alignment wrapText="1"/>
    </xf>
    <xf numFmtId="0" fontId="98" fillId="0" borderId="0" xfId="0" applyFont="1"/>
    <xf numFmtId="0" fontId="99" fillId="0" borderId="0" xfId="0" applyFont="1"/>
    <xf numFmtId="0" fontId="98" fillId="0" borderId="0" xfId="0" applyFont="1" applyAlignment="1">
      <alignment wrapText="1"/>
    </xf>
    <xf numFmtId="1" fontId="0" fillId="33" borderId="18" xfId="0" applyNumberFormat="1" applyFill="1" applyBorder="1" applyAlignment="1">
      <alignment horizontal="center"/>
    </xf>
    <xf numFmtId="3" fontId="4" fillId="33" borderId="0" xfId="0" applyNumberFormat="1" applyFont="1" applyFill="1" applyAlignment="1">
      <alignment horizontal="center"/>
    </xf>
    <xf numFmtId="0" fontId="54" fillId="30" borderId="0" xfId="0" applyFont="1" applyFill="1" applyAlignment="1">
      <alignment horizontal="center" wrapText="1"/>
    </xf>
    <xf numFmtId="0" fontId="54" fillId="30" borderId="0" xfId="0" applyFont="1" applyFill="1" applyAlignment="1">
      <alignment horizontal="center"/>
    </xf>
    <xf numFmtId="164" fontId="54" fillId="30" borderId="0" xfId="0" applyNumberFormat="1" applyFont="1" applyFill="1" applyAlignment="1">
      <alignment horizontal="center"/>
    </xf>
    <xf numFmtId="0" fontId="0" fillId="33" borderId="0" xfId="0" applyFill="1"/>
    <xf numFmtId="43" fontId="46" fillId="0" borderId="0" xfId="0" applyNumberFormat="1" applyFont="1"/>
    <xf numFmtId="0" fontId="54" fillId="0" borderId="0" xfId="87" applyFont="1"/>
    <xf numFmtId="164" fontId="54" fillId="0" borderId="0" xfId="87" applyNumberFormat="1" applyFont="1" applyAlignment="1">
      <alignment horizontal="center"/>
    </xf>
    <xf numFmtId="164" fontId="54" fillId="31" borderId="0" xfId="87" applyNumberFormat="1" applyFont="1" applyFill="1" applyAlignment="1">
      <alignment horizontal="center"/>
    </xf>
    <xf numFmtId="0" fontId="46" fillId="0" borderId="0" xfId="0" applyFont="1" applyAlignment="1">
      <alignment horizontal="center"/>
    </xf>
    <xf numFmtId="164" fontId="100" fillId="0" borderId="0" xfId="61" applyNumberFormat="1" applyFont="1" applyAlignment="1">
      <alignment horizontal="center"/>
    </xf>
    <xf numFmtId="10" fontId="54" fillId="0" borderId="0" xfId="100" applyNumberFormat="1" applyFont="1" applyAlignment="1">
      <alignment horizontal="center"/>
    </xf>
    <xf numFmtId="10" fontId="54" fillId="0" borderId="0" xfId="0" applyNumberFormat="1" applyFont="1" applyAlignment="1">
      <alignment horizontal="center"/>
    </xf>
    <xf numFmtId="10" fontId="0" fillId="0" borderId="0" xfId="0" applyNumberFormat="1" applyAlignment="1">
      <alignment horizontal="center"/>
    </xf>
    <xf numFmtId="0" fontId="4" fillId="0" borderId="30" xfId="0" applyFont="1" applyBorder="1" applyAlignment="1">
      <alignment horizontal="center"/>
    </xf>
    <xf numFmtId="10" fontId="8" fillId="0" borderId="0" xfId="0" applyNumberFormat="1" applyFont="1" applyAlignment="1">
      <alignment horizontal="center"/>
    </xf>
    <xf numFmtId="10" fontId="8" fillId="0" borderId="28" xfId="0" applyNumberFormat="1" applyFont="1" applyBorder="1" applyAlignment="1">
      <alignment horizontal="center"/>
    </xf>
    <xf numFmtId="0" fontId="0" fillId="0" borderId="28" xfId="0" applyBorder="1" applyAlignment="1">
      <alignment horizontal="center"/>
    </xf>
    <xf numFmtId="0" fontId="100" fillId="0" borderId="0" xfId="61" applyFont="1" applyAlignment="1">
      <alignment horizontal="center"/>
    </xf>
    <xf numFmtId="3" fontId="101" fillId="0" borderId="0" xfId="61" applyNumberFormat="1" applyFont="1" applyAlignment="1">
      <alignment horizontal="center"/>
    </xf>
    <xf numFmtId="0" fontId="87" fillId="0" borderId="12" xfId="0" applyFont="1" applyBorder="1" applyAlignment="1" applyProtection="1">
      <alignment horizontal="left"/>
      <protection hidden="1"/>
    </xf>
    <xf numFmtId="0" fontId="8" fillId="31" borderId="12" xfId="61" applyFont="1" applyFill="1" applyBorder="1" applyAlignment="1">
      <alignment horizontal="center" wrapText="1"/>
    </xf>
    <xf numFmtId="164" fontId="55" fillId="0" borderId="12" xfId="61" applyNumberFormat="1" applyFont="1" applyBorder="1" applyAlignment="1">
      <alignment horizontal="center" wrapText="1"/>
    </xf>
    <xf numFmtId="164" fontId="84" fillId="0" borderId="37" xfId="0" applyNumberFormat="1" applyFont="1" applyBorder="1" applyAlignment="1" applyProtection="1">
      <alignment horizontal="left"/>
      <protection hidden="1"/>
    </xf>
    <xf numFmtId="164" fontId="84" fillId="24" borderId="12" xfId="0" applyNumberFormat="1" applyFont="1" applyFill="1" applyBorder="1" applyAlignment="1" applyProtection="1">
      <alignment horizontal="left"/>
      <protection hidden="1"/>
    </xf>
    <xf numFmtId="164" fontId="84" fillId="24" borderId="42" xfId="0" applyNumberFormat="1" applyFont="1" applyFill="1" applyBorder="1" applyAlignment="1" applyProtection="1">
      <alignment horizontal="left"/>
      <protection hidden="1"/>
    </xf>
    <xf numFmtId="164" fontId="84" fillId="0" borderId="44" xfId="0" applyNumberFormat="1" applyFont="1" applyBorder="1" applyAlignment="1" applyProtection="1">
      <alignment horizontal="left"/>
      <protection hidden="1"/>
    </xf>
    <xf numFmtId="0" fontId="0" fillId="0" borderId="0" xfId="0" applyAlignment="1">
      <alignment wrapText="1"/>
    </xf>
    <xf numFmtId="49" fontId="83" fillId="47" borderId="73" xfId="0" applyNumberFormat="1" applyFont="1" applyFill="1" applyBorder="1" applyAlignment="1">
      <alignment horizontal="center" vertical="center" wrapText="1"/>
    </xf>
    <xf numFmtId="49" fontId="83" fillId="47" borderId="74" xfId="0" applyNumberFormat="1" applyFont="1" applyFill="1" applyBorder="1" applyAlignment="1">
      <alignment horizontal="center" vertical="center" wrapText="1"/>
    </xf>
    <xf numFmtId="0" fontId="0" fillId="0" borderId="12" xfId="0" applyBorder="1" applyAlignment="1">
      <alignment wrapText="1"/>
    </xf>
    <xf numFmtId="0" fontId="49" fillId="0" borderId="0" xfId="58" applyFont="1" applyAlignment="1">
      <alignment wrapText="1"/>
    </xf>
    <xf numFmtId="164" fontId="4" fillId="0" borderId="12" xfId="58" applyNumberFormat="1" applyFont="1" applyBorder="1" applyAlignment="1">
      <alignment horizontal="center" vertical="center"/>
    </xf>
    <xf numFmtId="164" fontId="4" fillId="0" borderId="12" xfId="58" applyNumberFormat="1" applyFont="1" applyBorder="1" applyAlignment="1">
      <alignment horizontal="center" vertical="center" wrapText="1"/>
    </xf>
    <xf numFmtId="8" fontId="54" fillId="33" borderId="0" xfId="0" applyNumberFormat="1" applyFont="1" applyFill="1" applyAlignment="1">
      <alignment horizontal="center"/>
    </xf>
    <xf numFmtId="0" fontId="85" fillId="0" borderId="12" xfId="0" applyFont="1" applyBorder="1" applyAlignment="1" applyProtection="1">
      <alignment horizontal="center"/>
      <protection hidden="1"/>
    </xf>
    <xf numFmtId="0" fontId="84" fillId="0" borderId="12" xfId="0" applyFont="1" applyBorder="1" applyAlignment="1" applyProtection="1">
      <alignment horizontal="center"/>
      <protection hidden="1"/>
    </xf>
    <xf numFmtId="0" fontId="92" fillId="0" borderId="12" xfId="0" applyFont="1" applyBorder="1" applyAlignment="1">
      <alignment horizontal="center"/>
    </xf>
    <xf numFmtId="164" fontId="92" fillId="0" borderId="12" xfId="0" applyNumberFormat="1" applyFont="1" applyBorder="1" applyAlignment="1" applyProtection="1">
      <alignment horizontal="center"/>
      <protection hidden="1"/>
    </xf>
    <xf numFmtId="0" fontId="84" fillId="0" borderId="12" xfId="0" applyFont="1" applyBorder="1" applyAlignment="1">
      <alignment horizontal="center"/>
    </xf>
    <xf numFmtId="164" fontId="84" fillId="0" borderId="12" xfId="0" applyNumberFormat="1" applyFont="1" applyBorder="1" applyAlignment="1" applyProtection="1">
      <alignment horizontal="center"/>
      <protection hidden="1"/>
    </xf>
    <xf numFmtId="1" fontId="5" fillId="30" borderId="12" xfId="62" applyNumberFormat="1" applyFont="1" applyFill="1" applyBorder="1" applyAlignment="1">
      <alignment horizontal="center" wrapText="1"/>
    </xf>
    <xf numFmtId="167" fontId="0" fillId="0" borderId="0" xfId="0" applyNumberFormat="1" applyAlignment="1">
      <alignment horizontal="center"/>
    </xf>
    <xf numFmtId="1" fontId="8" fillId="0" borderId="0" xfId="0" applyNumberFormat="1" applyFont="1" applyAlignment="1">
      <alignment horizontal="center"/>
    </xf>
    <xf numFmtId="164" fontId="8" fillId="0" borderId="12" xfId="61" applyNumberFormat="1" applyFont="1" applyBorder="1" applyAlignment="1">
      <alignment horizontal="center" vertical="center"/>
    </xf>
    <xf numFmtId="164" fontId="8" fillId="0" borderId="0" xfId="61" applyNumberFormat="1" applyFont="1" applyAlignment="1">
      <alignment horizontal="center" vertical="center"/>
    </xf>
    <xf numFmtId="164" fontId="8" fillId="33" borderId="0" xfId="61" applyNumberFormat="1" applyFont="1" applyFill="1" applyAlignment="1">
      <alignment horizontal="center"/>
    </xf>
    <xf numFmtId="14" fontId="0" fillId="0" borderId="12" xfId="0" applyNumberFormat="1" applyBorder="1" applyAlignment="1">
      <alignment horizontal="center"/>
    </xf>
    <xf numFmtId="0" fontId="0" fillId="0" borderId="12" xfId="0" applyBorder="1" applyAlignment="1">
      <alignment horizontal="center" wrapText="1"/>
    </xf>
    <xf numFmtId="0" fontId="82" fillId="0" borderId="12" xfId="0" applyFont="1" applyBorder="1" applyAlignment="1">
      <alignment horizontal="center"/>
    </xf>
    <xf numFmtId="0" fontId="82" fillId="0" borderId="12" xfId="0" applyFont="1" applyBorder="1" applyAlignment="1">
      <alignment horizontal="center" wrapText="1"/>
    </xf>
    <xf numFmtId="9" fontId="4" fillId="0" borderId="0" xfId="61" applyNumberFormat="1" applyFont="1"/>
    <xf numFmtId="10" fontId="54" fillId="0" borderId="0" xfId="100" applyNumberFormat="1" applyFont="1" applyFill="1" applyAlignment="1">
      <alignment horizontal="center"/>
    </xf>
    <xf numFmtId="9" fontId="0" fillId="0" borderId="0" xfId="100" applyFont="1" applyAlignment="1">
      <alignment horizontal="center"/>
    </xf>
    <xf numFmtId="9" fontId="56" fillId="0" borderId="0" xfId="100" applyFont="1"/>
    <xf numFmtId="167" fontId="0" fillId="0" borderId="0" xfId="0" applyNumberFormat="1"/>
    <xf numFmtId="9" fontId="0" fillId="41" borderId="0" xfId="100" applyFont="1" applyFill="1" applyAlignment="1">
      <alignment horizontal="center"/>
    </xf>
    <xf numFmtId="0" fontId="85" fillId="0" borderId="12" xfId="0" applyFont="1" applyBorder="1" applyAlignment="1">
      <alignment horizontal="center"/>
    </xf>
    <xf numFmtId="164" fontId="85" fillId="0" borderId="12" xfId="0" applyNumberFormat="1" applyFont="1" applyBorder="1" applyAlignment="1" applyProtection="1">
      <alignment horizontal="center"/>
      <protection hidden="1"/>
    </xf>
    <xf numFmtId="176" fontId="4" fillId="0" borderId="0" xfId="0" applyNumberFormat="1" applyFont="1"/>
    <xf numFmtId="164" fontId="46" fillId="0" borderId="0" xfId="0" applyNumberFormat="1" applyFont="1" applyAlignment="1">
      <alignment horizontal="center"/>
    </xf>
    <xf numFmtId="166" fontId="4" fillId="0" borderId="0" xfId="0" applyNumberFormat="1" applyFont="1"/>
    <xf numFmtId="3" fontId="46" fillId="37" borderId="0" xfId="0" applyNumberFormat="1" applyFont="1" applyFill="1" applyAlignment="1">
      <alignment horizontal="center"/>
    </xf>
    <xf numFmtId="164" fontId="56" fillId="0" borderId="0" xfId="100" applyNumberFormat="1" applyFont="1"/>
    <xf numFmtId="164" fontId="84" fillId="0" borderId="0" xfId="0" applyNumberFormat="1" applyFont="1" applyAlignment="1" applyProtection="1">
      <alignment horizontal="right"/>
      <protection hidden="1"/>
    </xf>
    <xf numFmtId="0" fontId="4" fillId="0" borderId="0" xfId="58" applyFont="1"/>
    <xf numFmtId="0" fontId="4" fillId="0" borderId="0" xfId="58" applyFont="1" applyAlignment="1">
      <alignment horizontal="center" wrapText="1"/>
    </xf>
    <xf numFmtId="1" fontId="4" fillId="0" borderId="12" xfId="58" applyNumberFormat="1" applyFont="1" applyBorder="1" applyAlignment="1">
      <alignment horizontal="center"/>
    </xf>
    <xf numFmtId="0" fontId="4" fillId="0" borderId="0" xfId="58" applyFont="1" applyAlignment="1">
      <alignment wrapText="1"/>
    </xf>
    <xf numFmtId="0" fontId="4" fillId="0" borderId="0" xfId="58" applyFont="1" applyAlignment="1">
      <alignment horizontal="left"/>
    </xf>
    <xf numFmtId="164" fontId="4" fillId="0" borderId="0" xfId="58" applyNumberFormat="1" applyFont="1" applyAlignment="1">
      <alignment horizontal="center"/>
    </xf>
    <xf numFmtId="0" fontId="4" fillId="0" borderId="0" xfId="58" applyFont="1" applyAlignment="1">
      <alignment horizontal="right"/>
    </xf>
    <xf numFmtId="3" fontId="4" fillId="0" borderId="0" xfId="61" applyNumberFormat="1" applyFont="1"/>
    <xf numFmtId="164" fontId="4" fillId="0" borderId="25" xfId="61" applyNumberFormat="1" applyFont="1" applyBorder="1" applyAlignment="1">
      <alignment horizontal="center"/>
    </xf>
    <xf numFmtId="0" fontId="4" fillId="0" borderId="20" xfId="61" applyFont="1" applyBorder="1" applyAlignment="1">
      <alignment horizontal="left"/>
    </xf>
    <xf numFmtId="9" fontId="4" fillId="0" borderId="0" xfId="100" applyFont="1"/>
    <xf numFmtId="0" fontId="4" fillId="38" borderId="12" xfId="61" applyFont="1" applyFill="1" applyBorder="1" applyAlignment="1">
      <alignment horizontal="left"/>
    </xf>
    <xf numFmtId="0" fontId="4" fillId="38" borderId="12" xfId="61" applyFont="1" applyFill="1" applyBorder="1"/>
    <xf numFmtId="0" fontId="4" fillId="41" borderId="12" xfId="61" applyFont="1" applyFill="1" applyBorder="1" applyAlignment="1">
      <alignment horizontal="left"/>
    </xf>
    <xf numFmtId="164" fontId="4" fillId="30" borderId="12" xfId="58" applyNumberFormat="1" applyFont="1" applyFill="1" applyBorder="1" applyAlignment="1">
      <alignment horizontal="center" vertical="center"/>
    </xf>
    <xf numFmtId="1" fontId="4" fillId="0" borderId="0" xfId="61" applyNumberFormat="1" applyFont="1" applyAlignment="1">
      <alignment horizontal="center" vertical="center"/>
    </xf>
    <xf numFmtId="9" fontId="4" fillId="0" borderId="0" xfId="100" applyFont="1" applyAlignment="1">
      <alignment horizontal="center"/>
    </xf>
    <xf numFmtId="0" fontId="4" fillId="0" borderId="29" xfId="61" applyFont="1" applyBorder="1" applyAlignment="1">
      <alignment horizontal="center" wrapText="1"/>
    </xf>
    <xf numFmtId="0" fontId="4" fillId="0" borderId="29" xfId="61" applyFont="1" applyBorder="1" applyAlignment="1">
      <alignment horizontal="center"/>
    </xf>
    <xf numFmtId="0" fontId="49" fillId="0" borderId="0" xfId="58" applyFont="1" applyAlignment="1">
      <alignment horizontal="center"/>
    </xf>
    <xf numFmtId="0" fontId="74" fillId="28" borderId="77" xfId="0" quotePrefix="1" applyFont="1" applyFill="1" applyBorder="1" applyAlignment="1">
      <alignment horizontal="left"/>
    </xf>
    <xf numFmtId="0" fontId="46" fillId="37" borderId="72" xfId="0" applyFont="1" applyFill="1" applyBorder="1"/>
    <xf numFmtId="0" fontId="4" fillId="37" borderId="78" xfId="0" applyFont="1" applyFill="1" applyBorder="1"/>
    <xf numFmtId="0" fontId="68" fillId="37" borderId="0" xfId="53" applyFont="1" applyFill="1" applyAlignment="1">
      <alignment horizontal="right"/>
    </xf>
    <xf numFmtId="0" fontId="69" fillId="37" borderId="0" xfId="53" applyFont="1" applyFill="1"/>
    <xf numFmtId="174" fontId="69" fillId="37" borderId="0" xfId="53" applyNumberFormat="1" applyFont="1" applyFill="1"/>
    <xf numFmtId="0" fontId="1" fillId="0" borderId="0" xfId="53" applyFont="1"/>
    <xf numFmtId="0" fontId="69" fillId="37" borderId="0" xfId="53" applyFont="1" applyFill="1" applyAlignment="1">
      <alignment horizontal="right"/>
    </xf>
    <xf numFmtId="164" fontId="4" fillId="0" borderId="46" xfId="61" applyNumberFormat="1" applyFont="1" applyBorder="1" applyAlignment="1">
      <alignment horizontal="center"/>
    </xf>
    <xf numFmtId="1" fontId="0" fillId="34" borderId="0" xfId="0" applyNumberFormat="1" applyFill="1" applyAlignment="1">
      <alignment horizontal="center"/>
    </xf>
    <xf numFmtId="167" fontId="0" fillId="30" borderId="0" xfId="0" applyNumberFormat="1" applyFill="1" applyAlignment="1">
      <alignment horizontal="center"/>
    </xf>
    <xf numFmtId="171" fontId="4" fillId="30" borderId="12" xfId="61" applyNumberFormat="1" applyFont="1" applyFill="1" applyBorder="1" applyAlignment="1">
      <alignment horizontal="left"/>
    </xf>
    <xf numFmtId="171" fontId="4" fillId="34" borderId="12" xfId="61" applyNumberFormat="1" applyFont="1" applyFill="1" applyBorder="1" applyAlignment="1">
      <alignment horizontal="left"/>
    </xf>
    <xf numFmtId="9" fontId="0" fillId="0" borderId="0" xfId="61" applyNumberFormat="1" applyFont="1"/>
    <xf numFmtId="0" fontId="0" fillId="0" borderId="0" xfId="61" applyFont="1" applyAlignment="1">
      <alignment horizontal="center"/>
    </xf>
    <xf numFmtId="9" fontId="0" fillId="0" borderId="0" xfId="61" applyNumberFormat="1" applyFont="1" applyAlignment="1">
      <alignment horizontal="center"/>
    </xf>
    <xf numFmtId="3" fontId="100" fillId="0" borderId="0" xfId="61" applyNumberFormat="1" applyFont="1" applyAlignment="1">
      <alignment horizontal="center"/>
    </xf>
    <xf numFmtId="164" fontId="84" fillId="0" borderId="0" xfId="0" applyNumberFormat="1" applyFont="1" applyAlignment="1" applyProtection="1">
      <alignment horizontal="center"/>
      <protection hidden="1"/>
    </xf>
    <xf numFmtId="0" fontId="84" fillId="0" borderId="0" xfId="0" applyFont="1" applyAlignment="1" applyProtection="1">
      <alignment horizontal="center"/>
      <protection hidden="1"/>
    </xf>
    <xf numFmtId="0" fontId="85" fillId="0" borderId="0" xfId="0" applyFont="1" applyAlignment="1" applyProtection="1">
      <alignment horizontal="center"/>
      <protection hidden="1"/>
    </xf>
    <xf numFmtId="167" fontId="85" fillId="0" borderId="0" xfId="0" applyNumberFormat="1" applyFont="1" applyAlignment="1" applyProtection="1">
      <alignment horizontal="center"/>
      <protection hidden="1"/>
    </xf>
    <xf numFmtId="164" fontId="4" fillId="48" borderId="0" xfId="61" applyNumberFormat="1" applyFont="1" applyFill="1" applyAlignment="1">
      <alignment horizontal="center"/>
    </xf>
    <xf numFmtId="8" fontId="54" fillId="48" borderId="0" xfId="0" applyNumberFormat="1" applyFont="1" applyFill="1" applyAlignment="1">
      <alignment horizontal="center"/>
    </xf>
    <xf numFmtId="164" fontId="0" fillId="48" borderId="0" xfId="0" applyNumberFormat="1" applyFill="1" applyAlignment="1">
      <alignment horizontal="center"/>
    </xf>
    <xf numFmtId="177" fontId="0" fillId="48" borderId="0" xfId="100" applyNumberFormat="1" applyFont="1" applyFill="1" applyAlignment="1">
      <alignment horizontal="center"/>
    </xf>
    <xf numFmtId="166" fontId="0" fillId="48" borderId="0" xfId="100" applyNumberFormat="1" applyFont="1" applyFill="1" applyAlignment="1">
      <alignment horizontal="center"/>
    </xf>
    <xf numFmtId="0" fontId="0" fillId="48" borderId="0" xfId="0" applyFill="1"/>
    <xf numFmtId="164" fontId="0" fillId="48" borderId="0" xfId="0" applyNumberFormat="1" applyFill="1"/>
    <xf numFmtId="164" fontId="4" fillId="48" borderId="12" xfId="61" applyNumberFormat="1" applyFont="1" applyFill="1" applyBorder="1" applyAlignment="1">
      <alignment horizontal="center"/>
    </xf>
    <xf numFmtId="3" fontId="0" fillId="48" borderId="0" xfId="0" applyNumberFormat="1" applyFill="1" applyAlignment="1">
      <alignment horizontal="center"/>
    </xf>
    <xf numFmtId="164" fontId="4" fillId="48" borderId="0" xfId="0" applyNumberFormat="1" applyFont="1" applyFill="1" applyAlignment="1">
      <alignment horizontal="center"/>
    </xf>
    <xf numFmtId="0" fontId="4" fillId="48" borderId="0" xfId="0" applyFont="1" applyFill="1"/>
    <xf numFmtId="1" fontId="0" fillId="48" borderId="0" xfId="0" applyNumberFormat="1" applyFill="1" applyAlignment="1">
      <alignment horizontal="center"/>
    </xf>
    <xf numFmtId="3" fontId="4" fillId="48" borderId="0" xfId="0" applyNumberFormat="1" applyFont="1" applyFill="1" applyAlignment="1">
      <alignment horizontal="center"/>
    </xf>
    <xf numFmtId="165" fontId="0" fillId="33" borderId="0" xfId="0" applyNumberFormat="1" applyFill="1" applyAlignment="1">
      <alignment horizontal="center"/>
    </xf>
    <xf numFmtId="171" fontId="0" fillId="48" borderId="0" xfId="0" applyNumberFormat="1" applyFill="1" applyAlignment="1">
      <alignment horizontal="center"/>
    </xf>
    <xf numFmtId="164" fontId="0" fillId="30" borderId="0" xfId="0" applyNumberFormat="1" applyFill="1"/>
    <xf numFmtId="171" fontId="4" fillId="32" borderId="12" xfId="61" applyNumberFormat="1" applyFont="1" applyFill="1" applyBorder="1" applyAlignment="1">
      <alignment horizontal="left"/>
    </xf>
    <xf numFmtId="164" fontId="4" fillId="34" borderId="0" xfId="61" applyNumberFormat="1" applyFont="1" applyFill="1"/>
    <xf numFmtId="8" fontId="0" fillId="0" borderId="0" xfId="0" applyNumberFormat="1" applyAlignment="1">
      <alignment horizontal="center"/>
    </xf>
    <xf numFmtId="0" fontId="54" fillId="34" borderId="12" xfId="0" applyFont="1" applyFill="1" applyBorder="1"/>
    <xf numFmtId="0" fontId="84" fillId="33" borderId="12" xfId="0" applyFont="1" applyFill="1" applyBorder="1" applyAlignment="1" applyProtection="1">
      <alignment horizontal="center"/>
      <protection hidden="1"/>
    </xf>
    <xf numFmtId="1" fontId="84" fillId="33" borderId="12" xfId="0" applyNumberFormat="1" applyFont="1" applyFill="1" applyBorder="1" applyAlignment="1" applyProtection="1">
      <alignment horizontal="center"/>
      <protection hidden="1"/>
    </xf>
    <xf numFmtId="1" fontId="84" fillId="33" borderId="20" xfId="0" applyNumberFormat="1" applyFont="1" applyFill="1" applyBorder="1" applyAlignment="1" applyProtection="1">
      <alignment horizontal="center"/>
      <protection hidden="1"/>
    </xf>
    <xf numFmtId="3" fontId="84" fillId="33" borderId="12" xfId="0" applyNumberFormat="1" applyFont="1" applyFill="1" applyBorder="1" applyAlignment="1" applyProtection="1">
      <alignment horizontal="center"/>
      <protection hidden="1"/>
    </xf>
    <xf numFmtId="0" fontId="102" fillId="33" borderId="12" xfId="0" applyFont="1" applyFill="1" applyBorder="1" applyAlignment="1">
      <alignment horizontal="center"/>
    </xf>
    <xf numFmtId="0" fontId="85" fillId="33" borderId="12" xfId="0" applyFont="1" applyFill="1" applyBorder="1" applyAlignment="1" applyProtection="1">
      <alignment horizontal="center"/>
      <protection hidden="1"/>
    </xf>
    <xf numFmtId="1" fontId="102" fillId="33" borderId="12" xfId="0" applyNumberFormat="1" applyFont="1" applyFill="1" applyBorder="1" applyAlignment="1" applyProtection="1">
      <alignment horizontal="center"/>
      <protection hidden="1"/>
    </xf>
    <xf numFmtId="167" fontId="60" fillId="48" borderId="12" xfId="60" applyNumberFormat="1" applyFont="1" applyFill="1" applyBorder="1" applyAlignment="1">
      <alignment horizontal="center" wrapText="1"/>
    </xf>
    <xf numFmtId="167" fontId="5" fillId="48" borderId="12" xfId="62" applyNumberFormat="1" applyFont="1" applyFill="1" applyBorder="1" applyAlignment="1">
      <alignment horizontal="center" wrapText="1"/>
    </xf>
    <xf numFmtId="164" fontId="103" fillId="0" borderId="0" xfId="61" applyNumberFormat="1" applyFont="1" applyAlignment="1">
      <alignment horizontal="center"/>
    </xf>
    <xf numFmtId="166" fontId="4" fillId="48" borderId="0" xfId="61" applyNumberFormat="1" applyFont="1" applyFill="1" applyAlignment="1">
      <alignment horizontal="center"/>
    </xf>
    <xf numFmtId="0" fontId="84" fillId="0" borderId="46" xfId="0" applyFont="1" applyBorder="1" applyAlignment="1" applyProtection="1">
      <alignment vertical="center" wrapText="1"/>
      <protection hidden="1"/>
    </xf>
    <xf numFmtId="6" fontId="4" fillId="0" borderId="12" xfId="0" applyNumberFormat="1" applyFont="1" applyBorder="1" applyAlignment="1">
      <alignment horizontal="center"/>
    </xf>
    <xf numFmtId="0" fontId="104" fillId="49" borderId="20" xfId="0" applyFont="1" applyFill="1" applyBorder="1" applyAlignment="1">
      <alignment horizontal="center"/>
    </xf>
    <xf numFmtId="178" fontId="4" fillId="0" borderId="0" xfId="61" applyNumberFormat="1" applyFont="1" applyAlignment="1">
      <alignment horizontal="center"/>
    </xf>
    <xf numFmtId="178" fontId="54" fillId="0" borderId="0" xfId="84" applyNumberFormat="1" applyFont="1" applyAlignment="1">
      <alignment horizontal="center"/>
    </xf>
    <xf numFmtId="0" fontId="84" fillId="0" borderId="0" xfId="0" applyFont="1" applyAlignment="1" applyProtection="1">
      <alignment horizontal="left" vertical="top" wrapText="1"/>
      <protection hidden="1"/>
    </xf>
    <xf numFmtId="0" fontId="84" fillId="0" borderId="52" xfId="0" applyFont="1" applyBorder="1" applyAlignment="1" applyProtection="1">
      <alignment horizontal="left" vertical="center"/>
      <protection hidden="1"/>
    </xf>
    <xf numFmtId="0" fontId="84" fillId="0" borderId="20" xfId="0" applyFont="1" applyBorder="1" applyAlignment="1" applyProtection="1">
      <alignment horizontal="left" vertical="center" wrapText="1"/>
      <protection hidden="1"/>
    </xf>
    <xf numFmtId="0" fontId="84" fillId="0" borderId="52" xfId="0" applyFont="1" applyBorder="1" applyAlignment="1" applyProtection="1">
      <alignment horizontal="left" vertical="center" wrapText="1"/>
      <protection hidden="1"/>
    </xf>
    <xf numFmtId="0" fontId="96" fillId="0" borderId="0" xfId="0" applyFont="1" applyAlignment="1" applyProtection="1">
      <alignment horizontal="left" vertical="center" wrapText="1"/>
      <protection hidden="1"/>
    </xf>
    <xf numFmtId="1" fontId="55" fillId="32" borderId="0" xfId="61" applyNumberFormat="1" applyFont="1" applyFill="1" applyAlignment="1">
      <alignment horizontal="center"/>
    </xf>
    <xf numFmtId="4" fontId="76" fillId="0" borderId="12" xfId="0" applyNumberFormat="1" applyFont="1" applyBorder="1" applyAlignment="1">
      <alignment horizontal="center"/>
    </xf>
    <xf numFmtId="4" fontId="76" fillId="0" borderId="12" xfId="0" applyNumberFormat="1" applyFont="1" applyBorder="1" applyAlignment="1">
      <alignment horizontal="center" wrapText="1"/>
    </xf>
    <xf numFmtId="167" fontId="76" fillId="0" borderId="12" xfId="0" applyNumberFormat="1" applyFont="1" applyBorder="1" applyAlignment="1">
      <alignment horizontal="center"/>
    </xf>
    <xf numFmtId="0" fontId="76" fillId="0" borderId="0" xfId="0" applyFont="1"/>
    <xf numFmtId="4" fontId="76" fillId="0" borderId="20" xfId="0" applyNumberFormat="1" applyFont="1" applyBorder="1" applyAlignment="1">
      <alignment horizontal="center" wrapText="1"/>
    </xf>
    <xf numFmtId="3" fontId="76" fillId="0" borderId="12" xfId="0" applyNumberFormat="1" applyFont="1" applyBorder="1" applyAlignment="1">
      <alignment horizontal="center" wrapText="1"/>
    </xf>
    <xf numFmtId="0" fontId="76" fillId="0" borderId="12" xfId="0" applyFont="1" applyBorder="1" applyAlignment="1">
      <alignment horizontal="center" vertical="center"/>
    </xf>
    <xf numFmtId="9" fontId="8" fillId="0" borderId="12" xfId="100" applyFont="1" applyBorder="1" applyAlignment="1">
      <alignment horizontal="center" vertical="center" wrapText="1"/>
    </xf>
    <xf numFmtId="4" fontId="0" fillId="0" borderId="12" xfId="0" applyNumberFormat="1" applyBorder="1" applyAlignment="1">
      <alignment horizontal="center"/>
    </xf>
    <xf numFmtId="3" fontId="0" fillId="0" borderId="12" xfId="0" applyNumberFormat="1" applyBorder="1" applyAlignment="1">
      <alignment horizontal="center"/>
    </xf>
    <xf numFmtId="164" fontId="0" fillId="0" borderId="20" xfId="0" applyNumberFormat="1" applyBorder="1" applyAlignment="1">
      <alignment horizontal="center"/>
    </xf>
    <xf numFmtId="164" fontId="105" fillId="0" borderId="0" xfId="0" applyNumberFormat="1" applyFont="1" applyAlignment="1">
      <alignment horizontal="center"/>
    </xf>
    <xf numFmtId="164" fontId="4" fillId="0" borderId="12" xfId="61" applyNumberFormat="1" applyFont="1" applyBorder="1" applyAlignment="1">
      <alignment horizontal="center" vertical="center"/>
    </xf>
    <xf numFmtId="164" fontId="4" fillId="0" borderId="12" xfId="100" applyNumberFormat="1" applyFont="1" applyBorder="1" applyAlignment="1">
      <alignment horizontal="center" vertical="center"/>
    </xf>
    <xf numFmtId="4" fontId="4" fillId="0" borderId="12" xfId="61" applyNumberFormat="1" applyFont="1" applyBorder="1" applyAlignment="1">
      <alignment horizontal="center"/>
    </xf>
    <xf numFmtId="164" fontId="106" fillId="0" borderId="0" xfId="0" applyNumberFormat="1" applyFont="1" applyAlignment="1">
      <alignment horizontal="center"/>
    </xf>
    <xf numFmtId="0" fontId="4" fillId="50" borderId="12" xfId="61" applyFont="1" applyFill="1" applyBorder="1"/>
    <xf numFmtId="164" fontId="0" fillId="50" borderId="12" xfId="0" applyNumberFormat="1" applyFill="1" applyBorder="1" applyAlignment="1">
      <alignment horizontal="center"/>
    </xf>
    <xf numFmtId="164" fontId="0" fillId="50" borderId="20" xfId="0" applyNumberFormat="1" applyFill="1" applyBorder="1" applyAlignment="1">
      <alignment horizontal="center"/>
    </xf>
    <xf numFmtId="3" fontId="0" fillId="50" borderId="12" xfId="0" applyNumberFormat="1" applyFill="1" applyBorder="1" applyAlignment="1">
      <alignment horizontal="center"/>
    </xf>
    <xf numFmtId="0" fontId="18" fillId="0" borderId="12" xfId="61" applyFont="1" applyBorder="1" applyAlignment="1">
      <alignment horizontal="center"/>
    </xf>
    <xf numFmtId="164" fontId="0" fillId="33" borderId="12" xfId="0" applyNumberFormat="1" applyFill="1" applyBorder="1" applyAlignment="1">
      <alignment horizontal="center"/>
    </xf>
    <xf numFmtId="0" fontId="77" fillId="0" borderId="0" xfId="0" applyFont="1"/>
    <xf numFmtId="6" fontId="107" fillId="0" borderId="12" xfId="0" applyNumberFormat="1" applyFont="1" applyBorder="1" applyAlignment="1">
      <alignment horizontal="center"/>
    </xf>
    <xf numFmtId="4" fontId="4" fillId="33" borderId="12" xfId="61" applyNumberFormat="1" applyFont="1" applyFill="1" applyBorder="1" applyAlignment="1">
      <alignment horizontal="center"/>
    </xf>
    <xf numFmtId="3" fontId="0" fillId="33" borderId="12" xfId="0" applyNumberFormat="1" applyFill="1" applyBorder="1" applyAlignment="1">
      <alignment horizontal="center"/>
    </xf>
    <xf numFmtId="164" fontId="85" fillId="30" borderId="0" xfId="59" applyNumberFormat="1" applyFont="1" applyFill="1" applyAlignment="1" applyProtection="1">
      <alignment horizontal="left"/>
      <protection hidden="1"/>
    </xf>
    <xf numFmtId="164" fontId="85" fillId="30" borderId="0" xfId="0" applyNumberFormat="1" applyFont="1" applyFill="1" applyAlignment="1" applyProtection="1">
      <alignment horizontal="left"/>
      <protection hidden="1"/>
    </xf>
    <xf numFmtId="0" fontId="84" fillId="0" borderId="0" xfId="0" applyFont="1" applyAlignment="1">
      <alignment horizontal="center"/>
    </xf>
    <xf numFmtId="9" fontId="84" fillId="0" borderId="12" xfId="0" applyNumberFormat="1" applyFont="1" applyBorder="1" applyAlignment="1" applyProtection="1">
      <alignment horizontal="center"/>
      <protection hidden="1"/>
    </xf>
    <xf numFmtId="0" fontId="85" fillId="0" borderId="15" xfId="0" applyFont="1" applyBorder="1" applyAlignment="1" applyProtection="1">
      <alignment horizontal="center"/>
      <protection hidden="1"/>
    </xf>
    <xf numFmtId="164" fontId="84" fillId="0" borderId="15" xfId="0" applyNumberFormat="1" applyFont="1" applyBorder="1" applyAlignment="1" applyProtection="1">
      <alignment horizontal="center"/>
      <protection hidden="1"/>
    </xf>
    <xf numFmtId="0" fontId="84" fillId="0" borderId="0" xfId="59" applyFont="1" applyAlignment="1" applyProtection="1">
      <alignment horizontal="left"/>
      <protection locked="0" hidden="1"/>
    </xf>
    <xf numFmtId="1" fontId="84" fillId="0" borderId="12" xfId="0" applyNumberFormat="1" applyFont="1" applyBorder="1" applyAlignment="1" applyProtection="1">
      <alignment horizontal="center"/>
      <protection hidden="1"/>
    </xf>
    <xf numFmtId="0" fontId="85" fillId="0" borderId="12" xfId="0" applyFont="1" applyBorder="1" applyAlignment="1" applyProtection="1">
      <alignment horizontal="center" wrapText="1"/>
      <protection hidden="1"/>
    </xf>
    <xf numFmtId="0" fontId="84" fillId="0" borderId="18" xfId="0" applyFont="1" applyBorder="1" applyAlignment="1" applyProtection="1">
      <alignment horizontal="left"/>
      <protection hidden="1"/>
    </xf>
    <xf numFmtId="164" fontId="4" fillId="48" borderId="0" xfId="61" applyNumberFormat="1" applyFont="1" applyFill="1"/>
    <xf numFmtId="164" fontId="84" fillId="41" borderId="0" xfId="100" applyNumberFormat="1" applyFont="1" applyFill="1" applyAlignment="1" applyProtection="1">
      <alignment horizontal="left"/>
      <protection hidden="1"/>
    </xf>
    <xf numFmtId="0" fontId="84" fillId="0" borderId="24" xfId="0" applyFont="1" applyBorder="1" applyAlignment="1" applyProtection="1">
      <alignment horizontal="left"/>
      <protection hidden="1"/>
    </xf>
    <xf numFmtId="0" fontId="84" fillId="0" borderId="25" xfId="0" applyFont="1" applyBorder="1" applyAlignment="1" applyProtection="1">
      <alignment horizontal="left"/>
      <protection hidden="1"/>
    </xf>
    <xf numFmtId="0" fontId="85" fillId="0" borderId="79" xfId="0" applyFont="1" applyBorder="1" applyAlignment="1" applyProtection="1">
      <alignment horizontal="center"/>
      <protection hidden="1"/>
    </xf>
    <xf numFmtId="164" fontId="85" fillId="0" borderId="80" xfId="0" applyNumberFormat="1" applyFont="1" applyBorder="1" applyAlignment="1" applyProtection="1">
      <alignment horizontal="center"/>
      <protection hidden="1"/>
    </xf>
    <xf numFmtId="0" fontId="92" fillId="51" borderId="26" xfId="59" applyFont="1" applyFill="1" applyBorder="1" applyAlignment="1" applyProtection="1">
      <alignment horizontal="left"/>
      <protection hidden="1"/>
    </xf>
    <xf numFmtId="0" fontId="84" fillId="51" borderId="0" xfId="0" applyFont="1" applyFill="1" applyAlignment="1" applyProtection="1">
      <alignment horizontal="left"/>
      <protection hidden="1"/>
    </xf>
    <xf numFmtId="10" fontId="92" fillId="51" borderId="27" xfId="0" applyNumberFormat="1" applyFont="1" applyFill="1" applyBorder="1" applyAlignment="1" applyProtection="1">
      <alignment horizontal="left"/>
      <protection hidden="1"/>
    </xf>
    <xf numFmtId="0" fontId="84" fillId="0" borderId="81" xfId="59" applyFont="1" applyBorder="1" applyAlignment="1" applyProtection="1">
      <alignment horizontal="left"/>
      <protection hidden="1"/>
    </xf>
    <xf numFmtId="0" fontId="84" fillId="0" borderId="26" xfId="0" applyFont="1" applyBorder="1" applyAlignment="1" applyProtection="1">
      <alignment horizontal="left"/>
      <protection hidden="1"/>
    </xf>
    <xf numFmtId="0" fontId="84" fillId="0" borderId="27" xfId="0" applyFont="1" applyBorder="1" applyAlignment="1" applyProtection="1">
      <alignment horizontal="left"/>
      <protection hidden="1"/>
    </xf>
    <xf numFmtId="0" fontId="86" fillId="0" borderId="23" xfId="59" applyFont="1" applyBorder="1" applyAlignment="1" applyProtection="1">
      <alignment horizontal="left"/>
      <protection hidden="1"/>
    </xf>
    <xf numFmtId="0" fontId="84" fillId="0" borderId="3" xfId="0" applyFont="1" applyBorder="1" applyAlignment="1" applyProtection="1">
      <alignment horizontal="center"/>
      <protection hidden="1"/>
    </xf>
    <xf numFmtId="10" fontId="84" fillId="0" borderId="12" xfId="0" applyNumberFormat="1" applyFont="1" applyBorder="1" applyAlignment="1" applyProtection="1">
      <alignment horizontal="center"/>
      <protection hidden="1"/>
    </xf>
    <xf numFmtId="0" fontId="0" fillId="0" borderId="79" xfId="0" applyBorder="1"/>
    <xf numFmtId="164" fontId="4" fillId="0" borderId="81" xfId="0" applyNumberFormat="1" applyFont="1" applyBorder="1" applyAlignment="1">
      <alignment horizontal="center"/>
    </xf>
    <xf numFmtId="164" fontId="0" fillId="40" borderId="79" xfId="0" applyNumberFormat="1" applyFill="1" applyBorder="1" applyAlignment="1">
      <alignment horizontal="center"/>
    </xf>
    <xf numFmtId="164" fontId="0" fillId="0" borderId="80" xfId="0" applyNumberFormat="1" applyBorder="1" applyAlignment="1">
      <alignment horizontal="center"/>
    </xf>
    <xf numFmtId="0" fontId="0" fillId="0" borderId="79" xfId="0" applyBorder="1" applyAlignment="1">
      <alignment horizontal="center"/>
    </xf>
    <xf numFmtId="175" fontId="8" fillId="43" borderId="81" xfId="0" applyNumberFormat="1" applyFont="1" applyFill="1" applyBorder="1" applyAlignment="1">
      <alignment horizontal="left"/>
    </xf>
    <xf numFmtId="175" fontId="8" fillId="43" borderId="79" xfId="0" applyNumberFormat="1" applyFont="1" applyFill="1" applyBorder="1"/>
    <xf numFmtId="0" fontId="8" fillId="43" borderId="79" xfId="0" applyFont="1" applyFill="1" applyBorder="1"/>
    <xf numFmtId="0" fontId="8" fillId="43" borderId="80" xfId="0" applyFont="1" applyFill="1" applyBorder="1"/>
    <xf numFmtId="0" fontId="4" fillId="0" borderId="79" xfId="0" applyFont="1" applyBorder="1"/>
    <xf numFmtId="175" fontId="4" fillId="0" borderId="79" xfId="0" applyNumberFormat="1" applyFont="1" applyBorder="1" applyAlignment="1">
      <alignment horizontal="fill"/>
    </xf>
    <xf numFmtId="0" fontId="69" fillId="43" borderId="81" xfId="53" applyFont="1" applyFill="1" applyBorder="1" applyAlignment="1">
      <alignment horizontal="right"/>
    </xf>
    <xf numFmtId="174" fontId="69" fillId="43" borderId="79" xfId="53" applyNumberFormat="1" applyFont="1" applyFill="1" applyBorder="1"/>
    <xf numFmtId="0" fontId="69" fillId="43" borderId="80" xfId="53" applyFont="1" applyFill="1" applyBorder="1"/>
    <xf numFmtId="0" fontId="4" fillId="43" borderId="81" xfId="0" applyFont="1" applyFill="1" applyBorder="1" applyAlignment="1">
      <alignment horizontal="left"/>
    </xf>
    <xf numFmtId="174" fontId="4" fillId="43" borderId="79" xfId="0" applyNumberFormat="1" applyFont="1" applyFill="1" applyBorder="1"/>
    <xf numFmtId="0" fontId="4" fillId="43" borderId="80" xfId="0" applyFont="1" applyFill="1" applyBorder="1"/>
    <xf numFmtId="175" fontId="46" fillId="43" borderId="81" xfId="0" applyNumberFormat="1" applyFont="1" applyFill="1" applyBorder="1"/>
    <xf numFmtId="175" fontId="46" fillId="43" borderId="79" xfId="0" applyNumberFormat="1" applyFont="1" applyFill="1" applyBorder="1" applyAlignment="1">
      <alignment horizontal="fill"/>
    </xf>
    <xf numFmtId="175" fontId="46" fillId="43" borderId="81" xfId="0" applyNumberFormat="1" applyFont="1" applyFill="1" applyBorder="1" applyAlignment="1">
      <alignment horizontal="fill"/>
    </xf>
    <xf numFmtId="0" fontId="46" fillId="43" borderId="80" xfId="0" applyFont="1" applyFill="1" applyBorder="1"/>
    <xf numFmtId="0" fontId="61" fillId="43" borderId="81" xfId="0" quotePrefix="1" applyFont="1" applyFill="1" applyBorder="1"/>
    <xf numFmtId="0" fontId="46" fillId="43" borderId="79" xfId="0" applyFont="1" applyFill="1" applyBorder="1" applyAlignment="1">
      <alignment horizontal="left"/>
    </xf>
    <xf numFmtId="169" fontId="46" fillId="43" borderId="79" xfId="0" applyNumberFormat="1" applyFont="1" applyFill="1" applyBorder="1" applyAlignment="1">
      <alignment horizontal="center"/>
    </xf>
    <xf numFmtId="3" fontId="46" fillId="43" borderId="79" xfId="0" applyNumberFormat="1" applyFont="1" applyFill="1" applyBorder="1"/>
    <xf numFmtId="3" fontId="46" fillId="43" borderId="80" xfId="0" applyNumberFormat="1" applyFont="1" applyFill="1" applyBorder="1"/>
    <xf numFmtId="3" fontId="46" fillId="43" borderId="79" xfId="0" quotePrefix="1" applyNumberFormat="1" applyFont="1" applyFill="1" applyBorder="1"/>
    <xf numFmtId="0" fontId="4" fillId="43" borderId="79" xfId="0" applyFont="1" applyFill="1" applyBorder="1"/>
    <xf numFmtId="164" fontId="4" fillId="43" borderId="79" xfId="0" applyNumberFormat="1" applyFont="1" applyFill="1" applyBorder="1"/>
    <xf numFmtId="0" fontId="73" fillId="43" borderId="79" xfId="0" applyFont="1" applyFill="1" applyBorder="1"/>
    <xf numFmtId="3" fontId="4" fillId="43" borderId="80" xfId="0" applyNumberFormat="1" applyFont="1" applyFill="1" applyBorder="1"/>
    <xf numFmtId="0" fontId="46" fillId="45" borderId="81" xfId="0" applyFont="1" applyFill="1" applyBorder="1"/>
    <xf numFmtId="0" fontId="61" fillId="45" borderId="79" xfId="0" applyFont="1" applyFill="1" applyBorder="1"/>
    <xf numFmtId="0" fontId="61" fillId="45" borderId="80" xfId="0" applyFont="1" applyFill="1" applyBorder="1"/>
    <xf numFmtId="0" fontId="4" fillId="43" borderId="81" xfId="0" applyFont="1" applyFill="1" applyBorder="1"/>
    <xf numFmtId="0" fontId="4" fillId="43" borderId="79" xfId="0" applyFont="1" applyFill="1" applyBorder="1" applyAlignment="1">
      <alignment horizontal="left"/>
    </xf>
    <xf numFmtId="170" fontId="4" fillId="43" borderId="79" xfId="0" applyNumberFormat="1" applyFont="1" applyFill="1" applyBorder="1"/>
    <xf numFmtId="10" fontId="4" fillId="43" borderId="79" xfId="0" applyNumberFormat="1" applyFont="1" applyFill="1" applyBorder="1"/>
    <xf numFmtId="2" fontId="4" fillId="43" borderId="79" xfId="0" applyNumberFormat="1" applyFont="1" applyFill="1" applyBorder="1"/>
    <xf numFmtId="165" fontId="4" fillId="43" borderId="79" xfId="0" applyNumberFormat="1" applyFont="1" applyFill="1" applyBorder="1"/>
    <xf numFmtId="170" fontId="4" fillId="43" borderId="79" xfId="0" applyNumberFormat="1" applyFont="1" applyFill="1" applyBorder="1" applyAlignment="1">
      <alignment horizontal="left"/>
    </xf>
    <xf numFmtId="0" fontId="4" fillId="43" borderId="81" xfId="0" applyFont="1" applyFill="1" applyBorder="1" applyAlignment="1">
      <alignment horizontal="center"/>
    </xf>
    <xf numFmtId="175" fontId="46" fillId="28" borderId="81" xfId="0" applyNumberFormat="1" applyFont="1" applyFill="1" applyBorder="1"/>
    <xf numFmtId="175" fontId="46" fillId="28" borderId="79" xfId="0" applyNumberFormat="1" applyFont="1" applyFill="1" applyBorder="1" applyAlignment="1">
      <alignment horizontal="fill"/>
    </xf>
    <xf numFmtId="175" fontId="46" fillId="28" borderId="81" xfId="0" applyNumberFormat="1" applyFont="1" applyFill="1" applyBorder="1" applyAlignment="1">
      <alignment horizontal="fill"/>
    </xf>
    <xf numFmtId="0" fontId="46" fillId="28" borderId="80" xfId="0" applyFont="1" applyFill="1" applyBorder="1"/>
    <xf numFmtId="0" fontId="46" fillId="43" borderId="81" xfId="0" applyFont="1" applyFill="1" applyBorder="1" applyAlignment="1">
      <alignment horizontal="right"/>
    </xf>
    <xf numFmtId="0" fontId="79" fillId="31" borderId="79" xfId="0" applyFont="1" applyFill="1" applyBorder="1" applyAlignment="1">
      <alignment horizontal="left"/>
    </xf>
    <xf numFmtId="9" fontId="79" fillId="31" borderId="79" xfId="0" applyNumberFormat="1" applyFont="1" applyFill="1" applyBorder="1" applyAlignment="1">
      <alignment horizontal="left"/>
    </xf>
    <xf numFmtId="0" fontId="79" fillId="31" borderId="79" xfId="0" applyFont="1" applyFill="1" applyBorder="1"/>
    <xf numFmtId="3" fontId="79" fillId="31" borderId="79" xfId="0" applyNumberFormat="1" applyFont="1" applyFill="1" applyBorder="1"/>
    <xf numFmtId="3" fontId="46" fillId="31" borderId="79" xfId="0" applyNumberFormat="1" applyFont="1" applyFill="1" applyBorder="1"/>
    <xf numFmtId="3" fontId="46" fillId="43" borderId="81" xfId="0" applyNumberFormat="1" applyFont="1" applyFill="1" applyBorder="1"/>
    <xf numFmtId="3" fontId="79" fillId="43" borderId="79" xfId="0" applyNumberFormat="1" applyFont="1" applyFill="1" applyBorder="1"/>
    <xf numFmtId="174" fontId="4" fillId="31" borderId="79" xfId="0" applyNumberFormat="1" applyFont="1" applyFill="1" applyBorder="1"/>
    <xf numFmtId="0" fontId="46" fillId="43" borderId="79" xfId="0" applyFont="1" applyFill="1" applyBorder="1"/>
    <xf numFmtId="0" fontId="55" fillId="0" borderId="23" xfId="61" applyFont="1" applyBorder="1" applyAlignment="1">
      <alignment horizontal="center"/>
    </xf>
    <xf numFmtId="0" fontId="4" fillId="0" borderId="24" xfId="61" applyFont="1" applyBorder="1" applyAlignment="1">
      <alignment horizontal="right"/>
    </xf>
    <xf numFmtId="0" fontId="4" fillId="0" borderId="26" xfId="61" applyFont="1" applyBorder="1"/>
    <xf numFmtId="166" fontId="4" fillId="0" borderId="27" xfId="61" applyNumberFormat="1" applyFont="1" applyBorder="1"/>
    <xf numFmtId="0" fontId="4" fillId="0" borderId="27" xfId="61" applyFont="1" applyBorder="1"/>
    <xf numFmtId="164" fontId="4" fillId="0" borderId="57" xfId="61" applyNumberFormat="1" applyFont="1" applyBorder="1"/>
    <xf numFmtId="0" fontId="4" fillId="0" borderId="82" xfId="61" applyFont="1" applyBorder="1"/>
    <xf numFmtId="0" fontId="4" fillId="0" borderId="17" xfId="61" applyFont="1" applyBorder="1" applyAlignment="1">
      <alignment horizontal="right"/>
    </xf>
    <xf numFmtId="164" fontId="4" fillId="0" borderId="83" xfId="61" applyNumberFormat="1" applyFont="1" applyBorder="1" applyAlignment="1">
      <alignment horizontal="center"/>
    </xf>
    <xf numFmtId="0" fontId="54" fillId="33" borderId="0" xfId="0" applyFont="1" applyFill="1" applyAlignment="1">
      <alignment horizontal="center" wrapText="1"/>
    </xf>
    <xf numFmtId="0" fontId="4" fillId="0" borderId="20" xfId="61" applyFont="1" applyBorder="1" applyAlignment="1">
      <alignment horizontal="center" wrapText="1"/>
    </xf>
    <xf numFmtId="3" fontId="4" fillId="30" borderId="20" xfId="61" applyNumberFormat="1" applyFont="1" applyFill="1" applyBorder="1" applyAlignment="1">
      <alignment horizontal="center"/>
    </xf>
    <xf numFmtId="1" fontId="55" fillId="0" borderId="12" xfId="61" applyNumberFormat="1" applyFont="1" applyBorder="1" applyAlignment="1">
      <alignment horizontal="center"/>
    </xf>
    <xf numFmtId="1" fontId="4" fillId="0" borderId="12" xfId="61" applyNumberFormat="1" applyFont="1" applyBorder="1" applyAlignment="1">
      <alignment horizontal="center"/>
    </xf>
    <xf numFmtId="164" fontId="4" fillId="0" borderId="84" xfId="61" applyNumberFormat="1" applyFont="1" applyBorder="1" applyAlignment="1">
      <alignment horizontal="center"/>
    </xf>
    <xf numFmtId="3" fontId="4" fillId="0" borderId="84" xfId="61" applyNumberFormat="1" applyFont="1" applyBorder="1" applyAlignment="1">
      <alignment horizontal="center"/>
    </xf>
    <xf numFmtId="1" fontId="4" fillId="0" borderId="85" xfId="61" applyNumberFormat="1" applyFont="1" applyBorder="1" applyAlignment="1">
      <alignment horizontal="center"/>
    </xf>
    <xf numFmtId="0" fontId="55" fillId="0" borderId="32" xfId="61" applyFont="1" applyBorder="1" applyAlignment="1">
      <alignment horizontal="center"/>
    </xf>
    <xf numFmtId="0" fontId="4" fillId="0" borderId="32" xfId="61" applyFont="1" applyBorder="1"/>
    <xf numFmtId="0" fontId="4" fillId="0" borderId="29" xfId="58" applyFont="1" applyBorder="1" applyAlignment="1">
      <alignment horizontal="center"/>
    </xf>
    <xf numFmtId="0" fontId="8" fillId="0" borderId="12" xfId="58" applyFont="1" applyBorder="1" applyAlignment="1" applyProtection="1">
      <alignment horizontal="center" vertical="center"/>
      <protection hidden="1"/>
    </xf>
    <xf numFmtId="0" fontId="50" fillId="0" borderId="0" xfId="58" applyFont="1" applyAlignment="1">
      <alignment horizontal="center"/>
    </xf>
    <xf numFmtId="0" fontId="49" fillId="0" borderId="0" xfId="58" applyFont="1" applyAlignment="1">
      <alignment horizontal="center" wrapText="1"/>
    </xf>
    <xf numFmtId="0" fontId="6" fillId="0" borderId="0" xfId="58" applyFont="1" applyAlignment="1">
      <alignment horizontal="center"/>
    </xf>
    <xf numFmtId="0" fontId="17" fillId="0" borderId="0" xfId="58" applyFont="1" applyAlignment="1">
      <alignment horizontal="center"/>
    </xf>
    <xf numFmtId="0" fontId="4" fillId="0" borderId="12" xfId="58" applyFont="1" applyBorder="1" applyAlignment="1" applyProtection="1">
      <alignment horizontal="center" vertical="top"/>
      <protection hidden="1"/>
    </xf>
    <xf numFmtId="0" fontId="55" fillId="0" borderId="0" xfId="58" applyFont="1" applyAlignment="1">
      <alignment horizontal="center"/>
    </xf>
    <xf numFmtId="0" fontId="50" fillId="0" borderId="29" xfId="58" applyFont="1" applyBorder="1" applyAlignment="1">
      <alignment horizontal="center"/>
    </xf>
    <xf numFmtId="0" fontId="8" fillId="0" borderId="31" xfId="58" applyFont="1" applyBorder="1" applyAlignment="1" applyProtection="1">
      <alignment horizontal="center" vertical="center" wrapText="1"/>
      <protection hidden="1"/>
    </xf>
    <xf numFmtId="0" fontId="8" fillId="0" borderId="15" xfId="58" applyFont="1" applyBorder="1" applyAlignment="1" applyProtection="1">
      <alignment horizontal="center" vertical="center" wrapText="1"/>
      <protection hidden="1"/>
    </xf>
    <xf numFmtId="0" fontId="8" fillId="0" borderId="15" xfId="58" applyFont="1" applyBorder="1" applyAlignment="1">
      <alignment horizontal="center"/>
    </xf>
    <xf numFmtId="0" fontId="4" fillId="0" borderId="31" xfId="58" applyFont="1" applyBorder="1" applyAlignment="1">
      <alignment horizontal="center"/>
    </xf>
    <xf numFmtId="0" fontId="4" fillId="0" borderId="12" xfId="58" applyFont="1" applyBorder="1" applyAlignment="1">
      <alignment horizontal="center"/>
    </xf>
    <xf numFmtId="164" fontId="4" fillId="34" borderId="12" xfId="58" applyNumberFormat="1" applyFont="1" applyFill="1" applyBorder="1" applyAlignment="1">
      <alignment horizontal="center" vertical="center"/>
    </xf>
    <xf numFmtId="0" fontId="9" fillId="0" borderId="0" xfId="58" applyFont="1" applyAlignment="1">
      <alignment horizontal="left"/>
    </xf>
    <xf numFmtId="0" fontId="46" fillId="45" borderId="82" xfId="0" applyFont="1" applyFill="1" applyBorder="1"/>
    <xf numFmtId="0" fontId="61" fillId="45" borderId="83" xfId="0" applyFont="1" applyFill="1" applyBorder="1"/>
    <xf numFmtId="0" fontId="4" fillId="43" borderId="82" xfId="0" applyFont="1" applyFill="1" applyBorder="1"/>
    <xf numFmtId="0" fontId="4" fillId="43" borderId="83" xfId="0" applyFont="1" applyFill="1" applyBorder="1"/>
    <xf numFmtId="0" fontId="4" fillId="43" borderId="82" xfId="0" applyFont="1" applyFill="1" applyBorder="1" applyAlignment="1">
      <alignment horizontal="center"/>
    </xf>
    <xf numFmtId="175" fontId="46" fillId="28" borderId="82" xfId="0" applyNumberFormat="1" applyFont="1" applyFill="1" applyBorder="1"/>
    <xf numFmtId="175" fontId="46" fillId="28" borderId="82" xfId="0" applyNumberFormat="1" applyFont="1" applyFill="1" applyBorder="1" applyAlignment="1">
      <alignment horizontal="fill"/>
    </xf>
    <xf numFmtId="0" fontId="46" fillId="28" borderId="83" xfId="0" applyFont="1" applyFill="1" applyBorder="1"/>
    <xf numFmtId="0" fontId="46" fillId="43" borderId="82" xfId="0" applyFont="1" applyFill="1" applyBorder="1" applyAlignment="1">
      <alignment horizontal="right"/>
    </xf>
    <xf numFmtId="3" fontId="46" fillId="43" borderId="82" xfId="0" applyNumberFormat="1" applyFont="1" applyFill="1" applyBorder="1"/>
    <xf numFmtId="0" fontId="46" fillId="43" borderId="83" xfId="0" applyFont="1" applyFill="1" applyBorder="1"/>
    <xf numFmtId="164" fontId="54" fillId="30" borderId="12" xfId="0" applyNumberFormat="1" applyFont="1" applyFill="1" applyBorder="1" applyAlignment="1">
      <alignment horizontal="center"/>
    </xf>
    <xf numFmtId="164" fontId="54" fillId="0" borderId="12" xfId="0" applyNumberFormat="1" applyFont="1" applyBorder="1" applyAlignment="1">
      <alignment horizontal="center"/>
    </xf>
    <xf numFmtId="0" fontId="54" fillId="0" borderId="12" xfId="87" applyFont="1" applyBorder="1" applyAlignment="1">
      <alignment horizontal="center"/>
    </xf>
    <xf numFmtId="0" fontId="63" fillId="0" borderId="12" xfId="0" applyFont="1" applyBorder="1" applyAlignment="1">
      <alignment horizontal="center" vertical="center"/>
    </xf>
    <xf numFmtId="0" fontId="110" fillId="0" borderId="12" xfId="0" applyFont="1" applyBorder="1" applyAlignment="1">
      <alignment horizontal="center"/>
    </xf>
    <xf numFmtId="0" fontId="8" fillId="0" borderId="12" xfId="0" applyFont="1" applyBorder="1" applyAlignment="1">
      <alignment horizontal="center" wrapText="1"/>
    </xf>
    <xf numFmtId="3" fontId="20" fillId="30" borderId="18" xfId="0" applyNumberFormat="1" applyFont="1" applyFill="1" applyBorder="1"/>
    <xf numFmtId="0" fontId="63" fillId="0" borderId="12" xfId="0" applyFont="1" applyBorder="1" applyAlignment="1">
      <alignment horizontal="center" wrapText="1"/>
    </xf>
    <xf numFmtId="10" fontId="54" fillId="0" borderId="12" xfId="0" applyNumberFormat="1" applyFont="1" applyBorder="1" applyAlignment="1">
      <alignment horizontal="center"/>
    </xf>
    <xf numFmtId="0" fontId="111" fillId="52" borderId="20" xfId="0" applyFont="1" applyFill="1" applyBorder="1"/>
    <xf numFmtId="0" fontId="46" fillId="52" borderId="3" xfId="0" applyFont="1" applyFill="1" applyBorder="1"/>
    <xf numFmtId="0" fontId="112" fillId="53" borderId="3" xfId="0" applyFont="1" applyFill="1" applyBorder="1"/>
    <xf numFmtId="0" fontId="113" fillId="53" borderId="52" xfId="0" applyFont="1" applyFill="1" applyBorder="1" applyAlignment="1">
      <alignment horizontal="right"/>
    </xf>
    <xf numFmtId="0" fontId="115" fillId="54" borderId="20" xfId="0" applyFont="1" applyFill="1" applyBorder="1" applyAlignment="1">
      <alignment horizontal="left"/>
    </xf>
    <xf numFmtId="0" fontId="116" fillId="54" borderId="3" xfId="0" applyFont="1" applyFill="1" applyBorder="1" applyAlignment="1">
      <alignment horizontal="centerContinuous"/>
    </xf>
    <xf numFmtId="0" fontId="116" fillId="54" borderId="52" xfId="0" applyFont="1" applyFill="1" applyBorder="1" applyAlignment="1">
      <alignment horizontal="centerContinuous"/>
    </xf>
    <xf numFmtId="0" fontId="61" fillId="55" borderId="0" xfId="0" applyFont="1" applyFill="1" applyAlignment="1">
      <alignment horizontal="left"/>
    </xf>
    <xf numFmtId="0" fontId="61" fillId="55" borderId="0" xfId="0" applyFont="1" applyFill="1" applyAlignment="1">
      <alignment horizontal="centerContinuous"/>
    </xf>
    <xf numFmtId="0" fontId="46" fillId="55" borderId="0" xfId="0" applyFont="1" applyFill="1"/>
    <xf numFmtId="0" fontId="46" fillId="55" borderId="0" xfId="0" applyFont="1" applyFill="1" applyAlignment="1">
      <alignment horizontal="left"/>
    </xf>
    <xf numFmtId="0" fontId="61" fillId="55" borderId="0" xfId="0" applyFont="1" applyFill="1"/>
    <xf numFmtId="0" fontId="68" fillId="0" borderId="0" xfId="0" applyFont="1" applyAlignment="1">
      <alignment horizontal="right"/>
    </xf>
    <xf numFmtId="0" fontId="69" fillId="0" borderId="24" xfId="0" applyFont="1" applyBorder="1"/>
    <xf numFmtId="0" fontId="69" fillId="0" borderId="24" xfId="0" applyFont="1" applyBorder="1" applyAlignment="1">
      <alignment horizontal="left"/>
    </xf>
    <xf numFmtId="0" fontId="69" fillId="0" borderId="66" xfId="0" applyFont="1" applyBorder="1" applyAlignment="1">
      <alignment horizontal="left"/>
    </xf>
    <xf numFmtId="0" fontId="69" fillId="0" borderId="67" xfId="0" applyFont="1" applyBorder="1" applyAlignment="1">
      <alignment horizontal="left"/>
    </xf>
    <xf numFmtId="0" fontId="69" fillId="0" borderId="67" xfId="0" applyFont="1" applyBorder="1"/>
    <xf numFmtId="0" fontId="69" fillId="0" borderId="86" xfId="0" applyFont="1" applyBorder="1"/>
    <xf numFmtId="0" fontId="69" fillId="0" borderId="0" xfId="0" applyFont="1" applyAlignment="1">
      <alignment horizontal="right"/>
    </xf>
    <xf numFmtId="3" fontId="69" fillId="0" borderId="0" xfId="0" applyNumberFormat="1" applyFont="1"/>
    <xf numFmtId="0" fontId="69" fillId="0" borderId="0" xfId="0" applyFont="1" applyAlignment="1">
      <alignment horizontal="left"/>
    </xf>
    <xf numFmtId="0" fontId="69" fillId="0" borderId="79" xfId="0" applyFont="1" applyBorder="1"/>
    <xf numFmtId="0" fontId="69" fillId="0" borderId="79" xfId="0" applyFont="1" applyBorder="1" applyAlignment="1">
      <alignment horizontal="left"/>
    </xf>
    <xf numFmtId="0" fontId="117" fillId="0" borderId="24" xfId="0" applyFont="1" applyBorder="1" applyAlignment="1">
      <alignment horizontal="left"/>
    </xf>
    <xf numFmtId="0" fontId="117" fillId="0" borderId="24" xfId="0" applyFont="1" applyBorder="1"/>
    <xf numFmtId="0" fontId="46" fillId="54" borderId="63" xfId="0" applyFont="1" applyFill="1" applyBorder="1"/>
    <xf numFmtId="0" fontId="46" fillId="54" borderId="64" xfId="0" applyFont="1" applyFill="1" applyBorder="1" applyAlignment="1">
      <alignment horizontal="left"/>
    </xf>
    <xf numFmtId="0" fontId="46" fillId="54" borderId="64" xfId="0" applyFont="1" applyFill="1" applyBorder="1"/>
    <xf numFmtId="0" fontId="46" fillId="54" borderId="65" xfId="0" applyFont="1" applyFill="1" applyBorder="1"/>
    <xf numFmtId="0" fontId="61" fillId="54" borderId="0" xfId="0" applyFont="1" applyFill="1" applyAlignment="1">
      <alignment horizontal="left"/>
    </xf>
    <xf numFmtId="0" fontId="61" fillId="54" borderId="0" xfId="0" applyFont="1" applyFill="1"/>
    <xf numFmtId="0" fontId="61" fillId="54" borderId="0" xfId="0" applyFont="1" applyFill="1" applyAlignment="1">
      <alignment horizontal="right"/>
    </xf>
    <xf numFmtId="0" fontId="61" fillId="54" borderId="26" xfId="0" applyFont="1" applyFill="1" applyBorder="1" applyAlignment="1">
      <alignment horizontal="right"/>
    </xf>
    <xf numFmtId="0" fontId="46" fillId="54" borderId="87" xfId="0" applyFont="1" applyFill="1" applyBorder="1"/>
    <xf numFmtId="0" fontId="46" fillId="54" borderId="88" xfId="0" applyFont="1" applyFill="1" applyBorder="1"/>
    <xf numFmtId="0" fontId="46" fillId="54" borderId="79" xfId="0" applyFont="1" applyFill="1" applyBorder="1" applyAlignment="1">
      <alignment horizontal="fill"/>
    </xf>
    <xf numFmtId="0" fontId="46" fillId="54" borderId="89" xfId="0" applyFont="1" applyFill="1" applyBorder="1" applyAlignment="1">
      <alignment horizontal="fill"/>
    </xf>
    <xf numFmtId="0" fontId="46" fillId="54" borderId="90" xfId="0" applyFont="1" applyFill="1" applyBorder="1"/>
    <xf numFmtId="0" fontId="46" fillId="0" borderId="72" xfId="0" applyFont="1" applyBorder="1"/>
    <xf numFmtId="0" fontId="46" fillId="0" borderId="0" xfId="0" applyFont="1" applyAlignment="1">
      <alignment horizontal="left"/>
    </xf>
    <xf numFmtId="0" fontId="46" fillId="0" borderId="26" xfId="0" applyFont="1" applyBorder="1"/>
    <xf numFmtId="0" fontId="46" fillId="0" borderId="87" xfId="0" applyFont="1" applyBorder="1"/>
    <xf numFmtId="0" fontId="46" fillId="0" borderId="72" xfId="0" applyFont="1" applyBorder="1" applyAlignment="1">
      <alignment horizontal="left"/>
    </xf>
    <xf numFmtId="0" fontId="71" fillId="0" borderId="0" xfId="0" applyFont="1"/>
    <xf numFmtId="3" fontId="71" fillId="0" borderId="0" xfId="0" applyNumberFormat="1" applyFont="1"/>
    <xf numFmtId="3" fontId="46" fillId="0" borderId="0" xfId="0" applyNumberFormat="1" applyFont="1"/>
    <xf numFmtId="3" fontId="46" fillId="0" borderId="26" xfId="0" applyNumberFormat="1" applyFont="1" applyBorder="1"/>
    <xf numFmtId="0" fontId="61" fillId="0" borderId="72" xfId="0" applyFont="1" applyBorder="1" applyAlignment="1">
      <alignment horizontal="left"/>
    </xf>
    <xf numFmtId="0" fontId="46" fillId="0" borderId="91" xfId="0" applyFont="1" applyBorder="1" applyAlignment="1">
      <alignment horizontal="right"/>
    </xf>
    <xf numFmtId="0" fontId="46" fillId="0" borderId="92" xfId="0" applyFont="1" applyBorder="1" applyAlignment="1">
      <alignment horizontal="left"/>
    </xf>
    <xf numFmtId="0" fontId="46" fillId="0" borderId="92" xfId="0" applyFont="1" applyBorder="1"/>
    <xf numFmtId="0" fontId="46" fillId="0" borderId="93" xfId="0" applyFont="1" applyBorder="1"/>
    <xf numFmtId="0" fontId="46" fillId="0" borderId="94" xfId="0" applyFont="1" applyBorder="1"/>
    <xf numFmtId="3" fontId="46" fillId="30" borderId="0" xfId="0" applyNumberFormat="1" applyFont="1" applyFill="1"/>
    <xf numFmtId="164" fontId="46" fillId="30" borderId="0" xfId="0" applyNumberFormat="1" applyFont="1" applyFill="1"/>
    <xf numFmtId="164" fontId="0" fillId="0" borderId="31" xfId="0" applyNumberFormat="1" applyBorder="1" applyAlignment="1">
      <alignment horizontal="center"/>
    </xf>
    <xf numFmtId="164" fontId="17" fillId="0" borderId="31" xfId="0" applyNumberFormat="1" applyFont="1" applyBorder="1" applyAlignment="1">
      <alignment horizontal="center"/>
    </xf>
    <xf numFmtId="164" fontId="17" fillId="30" borderId="31" xfId="0" applyNumberFormat="1" applyFont="1" applyFill="1" applyBorder="1" applyAlignment="1">
      <alignment horizontal="center"/>
    </xf>
    <xf numFmtId="164" fontId="46" fillId="31" borderId="0" xfId="0" applyNumberFormat="1" applyFont="1" applyFill="1"/>
    <xf numFmtId="164" fontId="4" fillId="31" borderId="0" xfId="0" applyNumberFormat="1" applyFont="1" applyFill="1"/>
    <xf numFmtId="0" fontId="78" fillId="0" borderId="0" xfId="0" applyFont="1" applyAlignment="1">
      <alignment horizontal="center"/>
    </xf>
    <xf numFmtId="6" fontId="4" fillId="30" borderId="12" xfId="0" applyNumberFormat="1" applyFont="1" applyFill="1" applyBorder="1" applyAlignment="1">
      <alignment horizontal="center"/>
    </xf>
    <xf numFmtId="0" fontId="4" fillId="0" borderId="20" xfId="0" applyFont="1" applyBorder="1" applyAlignment="1">
      <alignment horizontal="center" wrapText="1"/>
    </xf>
    <xf numFmtId="164" fontId="4" fillId="0" borderId="12" xfId="0" applyNumberFormat="1" applyFont="1" applyBorder="1" applyAlignment="1">
      <alignment horizontal="center"/>
    </xf>
    <xf numFmtId="164" fontId="12" fillId="0" borderId="12" xfId="53" applyNumberFormat="1" applyBorder="1" applyAlignment="1">
      <alignment horizontal="center"/>
    </xf>
    <xf numFmtId="164" fontId="4" fillId="0" borderId="0" xfId="53" applyNumberFormat="1" applyFont="1" applyAlignment="1">
      <alignment horizontal="center"/>
    </xf>
    <xf numFmtId="164" fontId="8" fillId="30" borderId="0" xfId="0" applyNumberFormat="1" applyFont="1" applyFill="1" applyAlignment="1">
      <alignment horizontal="center"/>
    </xf>
    <xf numFmtId="0" fontId="0" fillId="34" borderId="20" xfId="0" applyFill="1" applyBorder="1" applyAlignment="1">
      <alignment horizontal="center"/>
    </xf>
    <xf numFmtId="164" fontId="0" fillId="34" borderId="12" xfId="0" applyNumberFormat="1" applyFill="1" applyBorder="1" applyAlignment="1">
      <alignment horizontal="center"/>
    </xf>
    <xf numFmtId="166" fontId="0" fillId="0" borderId="12" xfId="0" applyNumberFormat="1" applyBorder="1" applyAlignment="1">
      <alignment horizontal="center"/>
    </xf>
    <xf numFmtId="166" fontId="0" fillId="0" borderId="0" xfId="0" applyNumberFormat="1"/>
    <xf numFmtId="8" fontId="54" fillId="30" borderId="0" xfId="0" applyNumberFormat="1" applyFont="1" applyFill="1" applyAlignment="1">
      <alignment horizontal="center"/>
    </xf>
    <xf numFmtId="49" fontId="83" fillId="47" borderId="95" xfId="0" applyNumberFormat="1" applyFont="1" applyFill="1" applyBorder="1" applyAlignment="1">
      <alignment horizontal="center" vertical="center" wrapText="1"/>
    </xf>
    <xf numFmtId="0" fontId="83" fillId="47" borderId="73" xfId="0" applyFont="1" applyFill="1" applyBorder="1" applyAlignment="1">
      <alignment horizontal="center" vertical="center"/>
    </xf>
    <xf numFmtId="49" fontId="83" fillId="47" borderId="96" xfId="0" applyNumberFormat="1" applyFont="1" applyFill="1" applyBorder="1" applyAlignment="1">
      <alignment horizontal="center" vertical="center" wrapText="1"/>
    </xf>
    <xf numFmtId="1" fontId="83" fillId="47" borderId="95" xfId="0" applyNumberFormat="1" applyFont="1" applyFill="1" applyBorder="1" applyAlignment="1">
      <alignment horizontal="center" vertical="center"/>
    </xf>
    <xf numFmtId="49" fontId="83" fillId="47" borderId="95" xfId="0" applyNumberFormat="1" applyFont="1" applyFill="1" applyBorder="1" applyAlignment="1">
      <alignment horizontal="left" vertical="center"/>
    </xf>
    <xf numFmtId="0" fontId="119" fillId="56" borderId="12" xfId="0" applyFont="1" applyFill="1" applyBorder="1" applyAlignment="1">
      <alignment horizontal="right" vertical="center"/>
    </xf>
    <xf numFmtId="179" fontId="120" fillId="57" borderId="12" xfId="0" applyNumberFormat="1" applyFont="1" applyFill="1" applyBorder="1" applyAlignment="1">
      <alignment horizontal="right" vertical="center"/>
    </xf>
    <xf numFmtId="0" fontId="121" fillId="47" borderId="12" xfId="0" applyFont="1" applyFill="1" applyBorder="1" applyAlignment="1">
      <alignment horizontal="right" vertical="center"/>
    </xf>
    <xf numFmtId="179" fontId="120" fillId="58" borderId="12" xfId="0" applyNumberFormat="1" applyFont="1" applyFill="1" applyBorder="1" applyAlignment="1">
      <alignment horizontal="right" vertical="center"/>
    </xf>
    <xf numFmtId="0" fontId="12" fillId="0" borderId="12" xfId="53" applyBorder="1"/>
    <xf numFmtId="0" fontId="119" fillId="59" borderId="12" xfId="0" applyFont="1" applyFill="1" applyBorder="1" applyAlignment="1">
      <alignment horizontal="right" vertical="center"/>
    </xf>
    <xf numFmtId="0" fontId="106" fillId="59" borderId="12" xfId="0" applyFont="1" applyFill="1" applyBorder="1" applyAlignment="1">
      <alignment horizontal="right"/>
    </xf>
    <xf numFmtId="0" fontId="104" fillId="60" borderId="20" xfId="0" applyFont="1" applyFill="1" applyBorder="1" applyAlignment="1">
      <alignment horizontal="center"/>
    </xf>
    <xf numFmtId="0" fontId="4" fillId="34" borderId="12" xfId="0" applyFont="1" applyFill="1" applyBorder="1" applyAlignment="1">
      <alignment horizontal="center"/>
    </xf>
    <xf numFmtId="164" fontId="4" fillId="34" borderId="12" xfId="0" applyNumberFormat="1" applyFont="1" applyFill="1" applyBorder="1" applyAlignment="1">
      <alignment horizontal="center"/>
    </xf>
    <xf numFmtId="164" fontId="12" fillId="34" borderId="12" xfId="53" applyNumberFormat="1" applyFill="1" applyBorder="1" applyAlignment="1">
      <alignment horizontal="center"/>
    </xf>
    <xf numFmtId="4" fontId="76" fillId="0" borderId="0" xfId="0" applyNumberFormat="1" applyFont="1" applyAlignment="1">
      <alignment horizontal="center" wrapText="1"/>
    </xf>
    <xf numFmtId="167" fontId="76" fillId="0" borderId="0" xfId="0" applyNumberFormat="1" applyFont="1" applyAlignment="1">
      <alignment horizontal="center"/>
    </xf>
    <xf numFmtId="167" fontId="118" fillId="0" borderId="12" xfId="0" applyNumberFormat="1" applyFont="1" applyBorder="1" applyAlignment="1">
      <alignment horizontal="center" wrapText="1"/>
    </xf>
    <xf numFmtId="166" fontId="0" fillId="33" borderId="12" xfId="0" applyNumberFormat="1" applyFill="1" applyBorder="1" applyAlignment="1">
      <alignment horizontal="center"/>
    </xf>
    <xf numFmtId="0" fontId="0" fillId="31" borderId="12" xfId="0" applyFill="1" applyBorder="1" applyAlignment="1">
      <alignment horizontal="center"/>
    </xf>
    <xf numFmtId="164" fontId="0" fillId="31" borderId="12" xfId="0" applyNumberFormat="1" applyFill="1" applyBorder="1" applyAlignment="1">
      <alignment horizontal="center"/>
    </xf>
    <xf numFmtId="164" fontId="4" fillId="31" borderId="12" xfId="0" applyNumberFormat="1" applyFont="1" applyFill="1" applyBorder="1" applyAlignment="1">
      <alignment horizontal="center"/>
    </xf>
    <xf numFmtId="0" fontId="4" fillId="31" borderId="12" xfId="0" applyFont="1" applyFill="1" applyBorder="1" applyAlignment="1">
      <alignment horizontal="center"/>
    </xf>
    <xf numFmtId="164" fontId="12" fillId="31" borderId="12" xfId="53" applyNumberFormat="1" applyFill="1" applyBorder="1" applyAlignment="1">
      <alignment horizontal="center"/>
    </xf>
    <xf numFmtId="164" fontId="4" fillId="31" borderId="12" xfId="61" applyNumberFormat="1" applyFont="1" applyFill="1" applyBorder="1" applyAlignment="1">
      <alignment horizontal="center"/>
    </xf>
    <xf numFmtId="180" fontId="0" fillId="0" borderId="0" xfId="0" applyNumberFormat="1" applyAlignment="1">
      <alignment horizontal="center"/>
    </xf>
    <xf numFmtId="180" fontId="0" fillId="33" borderId="0" xfId="0" applyNumberFormat="1" applyFill="1" applyAlignment="1">
      <alignment horizontal="center"/>
    </xf>
    <xf numFmtId="0" fontId="0" fillId="0" borderId="20" xfId="0" applyBorder="1" applyAlignment="1">
      <alignment horizontal="center"/>
    </xf>
    <xf numFmtId="164" fontId="92" fillId="61" borderId="0" xfId="59" applyNumberFormat="1" applyFont="1" applyFill="1" applyAlignment="1" applyProtection="1">
      <alignment horizontal="left"/>
      <protection hidden="1"/>
    </xf>
    <xf numFmtId="0" fontId="0" fillId="62" borderId="0" xfId="0" applyFill="1"/>
    <xf numFmtId="0" fontId="4" fillId="62" borderId="0" xfId="0" applyFont="1" applyFill="1" applyAlignment="1">
      <alignment horizontal="center"/>
    </xf>
    <xf numFmtId="6" fontId="0" fillId="62" borderId="0" xfId="0" applyNumberFormat="1" applyFill="1"/>
    <xf numFmtId="6" fontId="8" fillId="62" borderId="0" xfId="0" applyNumberFormat="1" applyFont="1" applyFill="1"/>
    <xf numFmtId="0" fontId="8" fillId="0" borderId="0" xfId="0" applyFont="1" applyAlignment="1">
      <alignment horizontal="left" wrapText="1"/>
    </xf>
    <xf numFmtId="0" fontId="4" fillId="0" borderId="0" xfId="0" applyFont="1" applyAlignment="1">
      <alignment wrapText="1"/>
    </xf>
    <xf numFmtId="0" fontId="0" fillId="38" borderId="0" xfId="0" applyFill="1" applyAlignment="1">
      <alignment wrapText="1"/>
    </xf>
    <xf numFmtId="0" fontId="0" fillId="0" borderId="0" xfId="0" applyAlignment="1">
      <alignment horizontal="left" wrapText="1"/>
    </xf>
    <xf numFmtId="3" fontId="0" fillId="0" borderId="0" xfId="0" applyNumberFormat="1" applyAlignment="1">
      <alignment horizontal="center" wrapText="1"/>
    </xf>
    <xf numFmtId="9" fontId="0" fillId="0" borderId="0" xfId="0" applyNumberFormat="1" applyAlignment="1">
      <alignment horizontal="center" wrapText="1"/>
    </xf>
    <xf numFmtId="164" fontId="0" fillId="0" borderId="0" xfId="0" applyNumberFormat="1" applyAlignment="1">
      <alignment horizontal="center" wrapText="1"/>
    </xf>
    <xf numFmtId="10" fontId="0" fillId="0" borderId="0" xfId="100" applyNumberFormat="1" applyFont="1" applyAlignment="1">
      <alignment horizontal="center"/>
    </xf>
    <xf numFmtId="164" fontId="0" fillId="0" borderId="0" xfId="0" applyNumberFormat="1" applyAlignment="1">
      <alignment wrapText="1"/>
    </xf>
    <xf numFmtId="10" fontId="0" fillId="0" borderId="0" xfId="100" applyNumberFormat="1" applyFont="1" applyAlignment="1">
      <alignment horizontal="center" wrapText="1"/>
    </xf>
    <xf numFmtId="0" fontId="4" fillId="38" borderId="0" xfId="0" applyFont="1" applyFill="1"/>
    <xf numFmtId="181" fontId="0" fillId="0" borderId="0" xfId="0" applyNumberFormat="1" applyAlignment="1">
      <alignment wrapText="1"/>
    </xf>
    <xf numFmtId="167" fontId="4" fillId="0" borderId="0" xfId="0" applyNumberFormat="1" applyFont="1" applyAlignment="1">
      <alignment horizontal="center"/>
    </xf>
    <xf numFmtId="0" fontId="48" fillId="0" borderId="0" xfId="0" applyFont="1"/>
    <xf numFmtId="0" fontId="19" fillId="0" borderId="0" xfId="0" applyFont="1" applyAlignment="1">
      <alignment wrapText="1"/>
    </xf>
    <xf numFmtId="181" fontId="19" fillId="0" borderId="0" xfId="0" applyNumberFormat="1" applyFont="1" applyAlignment="1">
      <alignment wrapText="1"/>
    </xf>
    <xf numFmtId="164" fontId="19" fillId="0" borderId="0" xfId="0" applyNumberFormat="1" applyFont="1" applyAlignment="1">
      <alignment wrapText="1"/>
    </xf>
    <xf numFmtId="0" fontId="19" fillId="38" borderId="0" xfId="0" applyFont="1" applyFill="1"/>
    <xf numFmtId="0" fontId="19" fillId="0" borderId="0" xfId="0" applyFont="1" applyAlignment="1">
      <alignment horizontal="left" wrapText="1"/>
    </xf>
    <xf numFmtId="0" fontId="4" fillId="0" borderId="0" xfId="0" applyFont="1" applyAlignment="1">
      <alignment horizontal="left" wrapText="1"/>
    </xf>
    <xf numFmtId="0" fontId="123" fillId="0" borderId="0" xfId="0" applyFont="1"/>
    <xf numFmtId="0" fontId="19" fillId="0" borderId="0" xfId="0" applyFont="1" applyAlignment="1">
      <alignment vertical="center" wrapText="1"/>
    </xf>
    <xf numFmtId="0" fontId="125" fillId="0" borderId="0" xfId="0" applyFont="1"/>
    <xf numFmtId="0" fontId="4" fillId="34" borderId="0" xfId="61" applyFont="1" applyFill="1" applyAlignment="1">
      <alignment horizontal="center" wrapText="1"/>
    </xf>
    <xf numFmtId="3" fontId="0" fillId="34" borderId="0" xfId="0" applyNumberFormat="1" applyFill="1" applyAlignment="1">
      <alignment horizontal="center" wrapText="1"/>
    </xf>
    <xf numFmtId="164" fontId="0" fillId="34" borderId="0" xfId="0" applyNumberFormat="1" applyFill="1" applyAlignment="1">
      <alignment horizontal="center" wrapText="1"/>
    </xf>
    <xf numFmtId="0" fontId="0" fillId="0" borderId="12" xfId="61" applyFont="1" applyBorder="1" applyAlignment="1">
      <alignment horizontal="left"/>
    </xf>
    <xf numFmtId="164" fontId="0" fillId="0" borderId="0" xfId="0" applyNumberFormat="1" applyAlignment="1">
      <alignment horizontal="left"/>
    </xf>
    <xf numFmtId="0" fontId="0" fillId="38" borderId="12" xfId="61" applyFont="1" applyFill="1" applyBorder="1" applyAlignment="1">
      <alignment horizontal="left"/>
    </xf>
    <xf numFmtId="0" fontId="0" fillId="38" borderId="12" xfId="61" applyFont="1" applyFill="1" applyBorder="1"/>
    <xf numFmtId="0" fontId="0" fillId="41" borderId="12" xfId="61" applyFont="1" applyFill="1" applyBorder="1" applyAlignment="1">
      <alignment horizontal="left"/>
    </xf>
    <xf numFmtId="0" fontId="0" fillId="41" borderId="12" xfId="61" applyFont="1" applyFill="1" applyBorder="1"/>
    <xf numFmtId="0" fontId="0" fillId="0" borderId="0" xfId="61" applyFont="1" applyAlignment="1">
      <alignment horizontal="left"/>
    </xf>
    <xf numFmtId="0" fontId="4" fillId="30" borderId="0" xfId="0" applyFont="1" applyFill="1" applyAlignment="1">
      <alignment horizontal="center" wrapText="1"/>
    </xf>
    <xf numFmtId="0" fontId="0" fillId="30" borderId="0" xfId="0" applyFill="1" applyAlignment="1">
      <alignment wrapText="1"/>
    </xf>
    <xf numFmtId="10" fontId="0" fillId="30" borderId="0" xfId="100" applyNumberFormat="1" applyFont="1" applyFill="1" applyAlignment="1">
      <alignment horizontal="center" wrapText="1"/>
    </xf>
    <xf numFmtId="164" fontId="84" fillId="0" borderId="0" xfId="59" applyNumberFormat="1" applyFont="1" applyAlignment="1">
      <alignment horizontal="left"/>
    </xf>
    <xf numFmtId="0" fontId="19" fillId="0" borderId="0" xfId="59" applyFont="1" applyProtection="1">
      <protection hidden="1"/>
    </xf>
    <xf numFmtId="166" fontId="0" fillId="0" borderId="0" xfId="0" applyNumberFormat="1" applyAlignment="1">
      <alignment horizontal="center"/>
    </xf>
    <xf numFmtId="0" fontId="107" fillId="41" borderId="0" xfId="59" applyFont="1" applyFill="1" applyProtection="1">
      <protection hidden="1"/>
    </xf>
    <xf numFmtId="166" fontId="85" fillId="37" borderId="47" xfId="0" applyNumberFormat="1" applyFont="1" applyFill="1" applyBorder="1" applyAlignment="1" applyProtection="1">
      <alignment horizontal="left"/>
      <protection hidden="1"/>
    </xf>
    <xf numFmtId="10" fontId="0" fillId="0" borderId="0" xfId="0" applyNumberFormat="1"/>
    <xf numFmtId="0" fontId="84" fillId="0" borderId="0" xfId="0" applyFont="1" applyAlignment="1" applyProtection="1">
      <alignment horizontal="left" vertical="top" wrapText="1"/>
      <protection hidden="1"/>
    </xf>
    <xf numFmtId="0" fontId="84" fillId="0" borderId="0" xfId="0" applyFont="1" applyAlignment="1" applyProtection="1">
      <alignment horizontal="left" vertical="center" wrapText="1"/>
      <protection hidden="1"/>
    </xf>
    <xf numFmtId="0" fontId="84" fillId="0" borderId="0" xfId="0" applyFont="1" applyAlignment="1" applyProtection="1">
      <alignment horizontal="left" vertical="center"/>
      <protection hidden="1"/>
    </xf>
    <xf numFmtId="0" fontId="85" fillId="0" borderId="0" xfId="0" applyFont="1" applyAlignment="1" applyProtection="1">
      <alignment horizontal="right"/>
      <protection hidden="1"/>
    </xf>
    <xf numFmtId="0" fontId="85" fillId="0" borderId="0" xfId="0" applyFont="1" applyAlignment="1" applyProtection="1">
      <alignment horizontal="left"/>
      <protection hidden="1"/>
    </xf>
    <xf numFmtId="0" fontId="84" fillId="0" borderId="20" xfId="0" applyFont="1" applyBorder="1" applyAlignment="1" applyProtection="1">
      <alignment horizontal="left" vertical="center" wrapText="1"/>
      <protection hidden="1"/>
    </xf>
    <xf numFmtId="0" fontId="84" fillId="0" borderId="3" xfId="0" applyFont="1" applyBorder="1" applyAlignment="1" applyProtection="1">
      <alignment horizontal="left" vertical="center" wrapText="1"/>
      <protection hidden="1"/>
    </xf>
    <xf numFmtId="0" fontId="84" fillId="0" borderId="52" xfId="0" applyFont="1" applyBorder="1" applyAlignment="1" applyProtection="1">
      <alignment horizontal="left" vertical="center" wrapText="1"/>
      <protection hidden="1"/>
    </xf>
    <xf numFmtId="0" fontId="84" fillId="0" borderId="20" xfId="0" applyFont="1" applyBorder="1" applyAlignment="1" applyProtection="1">
      <alignment horizontal="left" vertical="center"/>
      <protection hidden="1"/>
    </xf>
    <xf numFmtId="0" fontId="84" fillId="0" borderId="3" xfId="0" applyFont="1" applyBorder="1" applyAlignment="1" applyProtection="1">
      <alignment horizontal="left" vertical="center"/>
      <protection hidden="1"/>
    </xf>
    <xf numFmtId="0" fontId="85" fillId="0" borderId="0" xfId="59" applyFont="1" applyAlignment="1" applyProtection="1">
      <alignment horizontal="left"/>
      <protection hidden="1"/>
    </xf>
    <xf numFmtId="0" fontId="85" fillId="0" borderId="49" xfId="0" applyFont="1" applyBorder="1" applyAlignment="1" applyProtection="1">
      <alignment horizontal="left" vertical="center"/>
      <protection hidden="1"/>
    </xf>
    <xf numFmtId="0" fontId="85" fillId="0" borderId="31" xfId="0" applyFont="1" applyBorder="1" applyAlignment="1" applyProtection="1">
      <alignment horizontal="left" vertical="center"/>
      <protection hidden="1"/>
    </xf>
    <xf numFmtId="0" fontId="84" fillId="0" borderId="52" xfId="0" applyFont="1" applyBorder="1" applyAlignment="1" applyProtection="1">
      <alignment horizontal="left" vertical="center"/>
      <protection hidden="1"/>
    </xf>
    <xf numFmtId="0" fontId="96" fillId="0" borderId="3" xfId="0" applyFont="1" applyBorder="1" applyAlignment="1" applyProtection="1">
      <alignment horizontal="left" vertical="center" wrapText="1"/>
      <protection hidden="1"/>
    </xf>
    <xf numFmtId="0" fontId="96" fillId="0" borderId="52" xfId="0" applyFont="1" applyBorder="1" applyAlignment="1" applyProtection="1">
      <alignment horizontal="left" vertical="center" wrapText="1"/>
      <protection hidden="1"/>
    </xf>
    <xf numFmtId="0" fontId="96" fillId="0" borderId="20" xfId="0" applyFont="1" applyBorder="1" applyAlignment="1" applyProtection="1">
      <alignment horizontal="left" vertical="center" wrapText="1"/>
      <protection hidden="1"/>
    </xf>
    <xf numFmtId="0" fontId="108" fillId="0" borderId="3" xfId="0" applyFont="1" applyBorder="1" applyAlignment="1" applyProtection="1">
      <alignment horizontal="left" vertical="center"/>
      <protection hidden="1"/>
    </xf>
    <xf numFmtId="0" fontId="84" fillId="0" borderId="0" xfId="0" applyFont="1" applyAlignment="1" applyProtection="1">
      <alignment horizontal="left" wrapText="1"/>
      <protection hidden="1"/>
    </xf>
    <xf numFmtId="0" fontId="96" fillId="0" borderId="0" xfId="0" applyFont="1" applyAlignment="1" applyProtection="1">
      <alignment horizontal="left" vertical="center" wrapText="1"/>
      <protection hidden="1"/>
    </xf>
    <xf numFmtId="0" fontId="107" fillId="0" borderId="0" xfId="0" applyFont="1" applyAlignment="1">
      <alignment horizontal="left" vertical="center" wrapText="1"/>
    </xf>
    <xf numFmtId="0" fontId="84" fillId="0" borderId="29" xfId="0" applyFont="1" applyBorder="1" applyAlignment="1" applyProtection="1">
      <alignment horizontal="center" vertical="center" wrapText="1"/>
      <protection hidden="1"/>
    </xf>
    <xf numFmtId="0" fontId="84" fillId="0" borderId="31" xfId="0" applyFont="1" applyBorder="1" applyAlignment="1" applyProtection="1">
      <alignment horizontal="center" vertical="center" wrapText="1"/>
      <protection hidden="1"/>
    </xf>
    <xf numFmtId="0" fontId="0" fillId="0" borderId="0" xfId="0" applyAlignment="1">
      <alignment horizontal="center" wrapText="1"/>
    </xf>
    <xf numFmtId="0" fontId="122"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left" vertical="center" wrapText="1"/>
    </xf>
    <xf numFmtId="0" fontId="125" fillId="0" borderId="0" xfId="0" applyFont="1" applyAlignment="1">
      <alignment horizontal="left"/>
    </xf>
    <xf numFmtId="0" fontId="125" fillId="0" borderId="0" xfId="0" applyFont="1" applyAlignment="1">
      <alignment horizontal="left" wrapText="1"/>
    </xf>
    <xf numFmtId="0" fontId="0" fillId="30" borderId="18" xfId="0" applyFill="1" applyBorder="1" applyAlignment="1">
      <alignment horizontal="center"/>
    </xf>
    <xf numFmtId="0" fontId="8" fillId="0" borderId="0" xfId="0" applyFont="1" applyAlignment="1">
      <alignment horizontal="center"/>
    </xf>
    <xf numFmtId="0" fontId="4" fillId="0" borderId="18" xfId="0" applyFont="1" applyBorder="1" applyAlignment="1">
      <alignment horizontal="center"/>
    </xf>
    <xf numFmtId="0" fontId="0" fillId="0" borderId="20" xfId="0" applyBorder="1" applyAlignment="1">
      <alignment horizontal="center"/>
    </xf>
    <xf numFmtId="0" fontId="0" fillId="0" borderId="3" xfId="0" applyBorder="1" applyAlignment="1">
      <alignment horizontal="center"/>
    </xf>
    <xf numFmtId="0" fontId="0" fillId="0" borderId="52" xfId="0" applyBorder="1" applyAlignment="1">
      <alignment horizontal="center"/>
    </xf>
    <xf numFmtId="0" fontId="0" fillId="0" borderId="12" xfId="0" applyBorder="1" applyAlignment="1">
      <alignment horizontal="center"/>
    </xf>
    <xf numFmtId="49" fontId="83" fillId="47" borderId="74" xfId="0" applyNumberFormat="1" applyFont="1" applyFill="1" applyBorder="1" applyAlignment="1">
      <alignment horizontal="center" vertical="center" wrapText="1"/>
    </xf>
    <xf numFmtId="49" fontId="83" fillId="47" borderId="75" xfId="0" applyNumberFormat="1" applyFont="1" applyFill="1" applyBorder="1" applyAlignment="1">
      <alignment horizontal="center" vertical="center" wrapText="1"/>
    </xf>
    <xf numFmtId="49" fontId="83" fillId="47" borderId="76" xfId="0" applyNumberFormat="1" applyFont="1" applyFill="1" applyBorder="1" applyAlignment="1">
      <alignment horizontal="center" vertical="center" wrapText="1"/>
    </xf>
    <xf numFmtId="49" fontId="83" fillId="47" borderId="95" xfId="0" applyNumberFormat="1" applyFont="1" applyFill="1" applyBorder="1" applyAlignment="1">
      <alignment horizontal="center" vertical="center" wrapText="1"/>
    </xf>
    <xf numFmtId="49" fontId="83" fillId="47" borderId="95" xfId="0" applyNumberFormat="1" applyFont="1" applyFill="1" applyBorder="1" applyAlignment="1">
      <alignment horizontal="left" vertical="center"/>
    </xf>
    <xf numFmtId="49" fontId="83" fillId="47" borderId="97" xfId="0" applyNumberFormat="1" applyFont="1" applyFill="1" applyBorder="1" applyAlignment="1">
      <alignment horizontal="left" vertical="center"/>
    </xf>
    <xf numFmtId="49" fontId="83" fillId="47" borderId="98" xfId="0" applyNumberFormat="1" applyFont="1" applyFill="1" applyBorder="1" applyAlignment="1">
      <alignment horizontal="left" vertical="center"/>
    </xf>
    <xf numFmtId="49" fontId="83" fillId="47" borderId="97" xfId="0" applyNumberFormat="1" applyFont="1" applyFill="1" applyBorder="1" applyAlignment="1">
      <alignment horizontal="left" vertical="center" wrapText="1"/>
    </xf>
    <xf numFmtId="49" fontId="83" fillId="47" borderId="98" xfId="0" applyNumberFormat="1" applyFont="1" applyFill="1" applyBorder="1" applyAlignment="1">
      <alignment horizontal="left" vertical="center" wrapText="1"/>
    </xf>
    <xf numFmtId="49" fontId="83" fillId="47" borderId="99" xfId="0" applyNumberFormat="1" applyFont="1" applyFill="1" applyBorder="1" applyAlignment="1">
      <alignment horizontal="left" vertical="center" wrapText="1"/>
    </xf>
    <xf numFmtId="0" fontId="4" fillId="0" borderId="12" xfId="58" applyFont="1" applyBorder="1" applyAlignment="1" applyProtection="1">
      <alignment horizontal="center" vertical="center"/>
      <protection hidden="1"/>
    </xf>
    <xf numFmtId="0" fontId="4" fillId="0" borderId="12" xfId="58" applyFont="1" applyBorder="1" applyAlignment="1">
      <alignment horizontal="center" vertical="center"/>
    </xf>
    <xf numFmtId="0" fontId="4" fillId="0" borderId="12" xfId="58" applyFont="1" applyBorder="1" applyAlignment="1">
      <alignment horizontal="center" vertical="center" wrapText="1"/>
    </xf>
    <xf numFmtId="0" fontId="8" fillId="0" borderId="29" xfId="58" applyFont="1" applyBorder="1" applyAlignment="1" applyProtection="1">
      <alignment horizontal="center" vertical="top"/>
      <protection hidden="1"/>
    </xf>
    <xf numFmtId="0" fontId="4" fillId="0" borderId="29" xfId="58" applyFont="1" applyBorder="1" applyAlignment="1">
      <alignment horizontal="center"/>
    </xf>
    <xf numFmtId="0" fontId="4" fillId="0" borderId="36" xfId="58" applyFont="1" applyBorder="1" applyAlignment="1">
      <alignment horizontal="center"/>
    </xf>
    <xf numFmtId="166" fontId="4" fillId="0" borderId="12" xfId="58" applyNumberFormat="1" applyFont="1" applyBorder="1" applyAlignment="1">
      <alignment horizontal="center" vertical="center" wrapText="1"/>
    </xf>
    <xf numFmtId="0" fontId="4" fillId="0" borderId="12" xfId="58" applyFont="1" applyBorder="1" applyAlignment="1" applyProtection="1">
      <alignment vertical="top"/>
      <protection hidden="1"/>
    </xf>
    <xf numFmtId="0" fontId="4" fillId="0" borderId="12" xfId="58" applyFont="1" applyBorder="1"/>
    <xf numFmtId="0" fontId="4" fillId="0" borderId="20" xfId="58" applyFont="1" applyBorder="1"/>
    <xf numFmtId="0" fontId="4" fillId="0" borderId="0" xfId="58" applyFont="1" applyAlignment="1">
      <alignment horizontal="left" wrapText="1"/>
    </xf>
    <xf numFmtId="0" fontId="8" fillId="0" borderId="12" xfId="58" applyFont="1" applyBorder="1" applyAlignment="1" applyProtection="1">
      <alignment horizontal="center" vertical="center"/>
      <protection hidden="1"/>
    </xf>
    <xf numFmtId="0" fontId="4" fillId="0" borderId="20" xfId="58" applyFont="1" applyBorder="1" applyAlignment="1" applyProtection="1">
      <alignment horizontal="center" vertical="center"/>
      <protection hidden="1"/>
    </xf>
    <xf numFmtId="0" fontId="4" fillId="0" borderId="3" xfId="58" applyFont="1" applyBorder="1" applyAlignment="1" applyProtection="1">
      <alignment horizontal="center" vertical="center"/>
      <protection hidden="1"/>
    </xf>
    <xf numFmtId="0" fontId="4" fillId="0" borderId="52" xfId="58" applyFont="1" applyBorder="1" applyAlignment="1" applyProtection="1">
      <alignment horizontal="center" vertical="center"/>
      <protection hidden="1"/>
    </xf>
    <xf numFmtId="0" fontId="4" fillId="0" borderId="0" xfId="58" applyFont="1" applyAlignment="1">
      <alignment horizontal="center" wrapText="1"/>
    </xf>
    <xf numFmtId="0" fontId="8" fillId="0" borderId="12" xfId="58" applyFont="1" applyBorder="1" applyAlignment="1">
      <alignment horizontal="center" vertical="center" wrapText="1"/>
    </xf>
    <xf numFmtId="166" fontId="8" fillId="0" borderId="12" xfId="58" applyNumberFormat="1" applyFont="1" applyBorder="1" applyAlignment="1">
      <alignment horizontal="center" vertical="center" wrapText="1"/>
    </xf>
    <xf numFmtId="0" fontId="54" fillId="0" borderId="0" xfId="0" applyFont="1" applyAlignment="1">
      <alignment horizontal="center" wrapText="1"/>
    </xf>
    <xf numFmtId="0" fontId="54" fillId="0" borderId="18" xfId="0" applyFont="1" applyBorder="1" applyAlignment="1">
      <alignment horizontal="center" wrapText="1"/>
    </xf>
    <xf numFmtId="0" fontId="48" fillId="38" borderId="12" xfId="0" applyFont="1" applyFill="1" applyBorder="1" applyAlignment="1">
      <alignment wrapText="1"/>
    </xf>
    <xf numFmtId="0" fontId="67" fillId="38" borderId="12" xfId="0" applyFont="1" applyFill="1" applyBorder="1"/>
    <xf numFmtId="0" fontId="8" fillId="25" borderId="12" xfId="0" applyFont="1" applyFill="1" applyBorder="1" applyAlignment="1">
      <alignment horizontal="left"/>
    </xf>
    <xf numFmtId="0" fontId="0" fillId="0" borderId="12" xfId="0" applyBorder="1"/>
    <xf numFmtId="0" fontId="48" fillId="25" borderId="12" xfId="0" quotePrefix="1" applyFont="1" applyFill="1" applyBorder="1" applyAlignment="1">
      <alignment horizontal="left"/>
    </xf>
    <xf numFmtId="0" fontId="61" fillId="54" borderId="72" xfId="0" applyFont="1" applyFill="1" applyBorder="1" applyAlignment="1">
      <alignment horizontal="left"/>
    </xf>
    <xf numFmtId="0" fontId="61" fillId="54" borderId="0" xfId="0" applyFont="1" applyFill="1" applyAlignment="1">
      <alignment horizontal="left"/>
    </xf>
    <xf numFmtId="0" fontId="46" fillId="0" borderId="72" xfId="0" applyFont="1" applyBorder="1"/>
    <xf numFmtId="0" fontId="46" fillId="0" borderId="0" xfId="0" applyFont="1"/>
    <xf numFmtId="0" fontId="114" fillId="0" borderId="32" xfId="0" applyFont="1" applyBorder="1"/>
    <xf numFmtId="0" fontId="114" fillId="0" borderId="0" xfId="0" applyFont="1"/>
    <xf numFmtId="0" fontId="75" fillId="0" borderId="32" xfId="0" applyFont="1" applyBorder="1"/>
    <xf numFmtId="0" fontId="75" fillId="0" borderId="0" xfId="0" applyFont="1"/>
    <xf numFmtId="0" fontId="69" fillId="0" borderId="24" xfId="0" applyFont="1" applyBorder="1" applyAlignment="1">
      <alignment horizontal="center"/>
    </xf>
    <xf numFmtId="0" fontId="69" fillId="0" borderId="0" xfId="0" applyFont="1"/>
    <xf numFmtId="0" fontId="61" fillId="54" borderId="64" xfId="0" applyFont="1" applyFill="1" applyBorder="1" applyAlignment="1">
      <alignment horizontal="center"/>
    </xf>
    <xf numFmtId="0" fontId="61" fillId="54" borderId="70" xfId="0" applyFont="1" applyFill="1" applyBorder="1" applyAlignment="1">
      <alignment horizontal="center"/>
    </xf>
    <xf numFmtId="0" fontId="8" fillId="25" borderId="12" xfId="0" quotePrefix="1" applyFont="1" applyFill="1" applyBorder="1" applyAlignment="1">
      <alignment horizontal="left"/>
    </xf>
    <xf numFmtId="0" fontId="4" fillId="43" borderId="24" xfId="0" applyFont="1" applyFill="1" applyBorder="1" applyAlignment="1">
      <alignment horizontal="center"/>
    </xf>
    <xf numFmtId="175" fontId="61" fillId="28" borderId="23" xfId="0" applyNumberFormat="1" applyFont="1" applyFill="1" applyBorder="1" applyAlignment="1">
      <alignment horizontal="center"/>
    </xf>
    <xf numFmtId="175" fontId="61" fillId="28" borderId="24" xfId="0" applyNumberFormat="1" applyFont="1" applyFill="1" applyBorder="1" applyAlignment="1">
      <alignment horizontal="center"/>
    </xf>
    <xf numFmtId="175" fontId="61" fillId="28" borderId="25" xfId="0" applyNumberFormat="1" applyFont="1" applyFill="1" applyBorder="1" applyAlignment="1">
      <alignment horizontal="center"/>
    </xf>
    <xf numFmtId="0" fontId="61" fillId="28" borderId="70" xfId="0" applyFont="1" applyFill="1" applyBorder="1" applyAlignment="1">
      <alignment horizontal="center"/>
    </xf>
    <xf numFmtId="0" fontId="61" fillId="28" borderId="64" xfId="0" applyFont="1" applyFill="1" applyBorder="1" applyAlignment="1">
      <alignment horizontal="center"/>
    </xf>
    <xf numFmtId="0" fontId="61" fillId="28" borderId="65" xfId="0" applyFont="1" applyFill="1" applyBorder="1" applyAlignment="1">
      <alignment horizontal="center"/>
    </xf>
    <xf numFmtId="0" fontId="8" fillId="0" borderId="12" xfId="61" applyFont="1" applyBorder="1" applyAlignment="1">
      <alignment horizontal="center" wrapText="1"/>
    </xf>
    <xf numFmtId="0" fontId="8" fillId="0" borderId="29" xfId="61" applyFont="1" applyBorder="1" applyAlignment="1">
      <alignment horizontal="center" wrapText="1"/>
    </xf>
    <xf numFmtId="0" fontId="4" fillId="0" borderId="20" xfId="61" applyFont="1" applyBorder="1" applyAlignment="1">
      <alignment horizontal="center"/>
    </xf>
    <xf numFmtId="0" fontId="4" fillId="0" borderId="52" xfId="61" applyFont="1" applyBorder="1" applyAlignment="1">
      <alignment horizontal="center"/>
    </xf>
    <xf numFmtId="0" fontId="8" fillId="0" borderId="36" xfId="61" applyFont="1" applyBorder="1" applyAlignment="1">
      <alignment horizontal="center"/>
    </xf>
    <xf numFmtId="0" fontId="8" fillId="0" borderId="46" xfId="61" applyFont="1" applyBorder="1" applyAlignment="1">
      <alignment horizontal="center"/>
    </xf>
    <xf numFmtId="0" fontId="8" fillId="0" borderId="33" xfId="61" applyFont="1" applyBorder="1" applyAlignment="1">
      <alignment horizontal="center"/>
    </xf>
  </cellXfs>
  <cellStyles count="101">
    <cellStyle name="%" xfId="1" xr:uid="{00000000-0005-0000-0000-000000000000}"/>
    <cellStyle name="% 2" xfId="2" xr:uid="{00000000-0005-0000-0000-000001000000}"/>
    <cellStyle name="% 2 2" xfId="90" xr:uid="{00000000-0005-0000-0000-000002000000}"/>
    <cellStyle name="]_x000d__x000a_Zoomed=1_x000d__x000a_Row=0_x000d__x000a_Column=0_x000d__x000a_Height=0_x000d__x000a_Width=0_x000d__x000a_FontName=FoxFont_x000d__x000a_FontStyle=0_x000d__x000a_FontSize=9_x000d__x000a_PrtFontName=FoxPrin" xfId="3" xr:uid="{00000000-0005-0000-0000-000003000000}"/>
    <cellStyle name="0,0_x000d__x000d_NA_x000d__x000d_" xfId="4" xr:uid="{00000000-0005-0000-0000-000004000000}"/>
    <cellStyle name="0,0_x000d__x000d_NA_x000d__x000d_ 2" xfId="91" xr:uid="{00000000-0005-0000-0000-000005000000}"/>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xfId="89" builtinId="3"/>
    <cellStyle name="Comma 2" xfId="32" xr:uid="{00000000-0005-0000-0000-000022000000}"/>
    <cellStyle name="Comma 3" xfId="85" xr:uid="{00000000-0005-0000-0000-000023000000}"/>
    <cellStyle name="Currency 2" xfId="33" xr:uid="{00000000-0005-0000-0000-000024000000}"/>
    <cellStyle name="Estimated" xfId="34" xr:uid="{00000000-0005-0000-0000-000025000000}"/>
    <cellStyle name="Explanatory Text" xfId="35" builtinId="53" customBuiltin="1"/>
    <cellStyle name="external input" xfId="36" xr:uid="{00000000-0005-0000-0000-000027000000}"/>
    <cellStyle name="Good" xfId="37" builtinId="26" customBuiltin="1"/>
    <cellStyle name="Grant" xfId="38" xr:uid="{00000000-0005-0000-0000-000029000000}"/>
    <cellStyle name="Header" xfId="39" xr:uid="{00000000-0005-0000-0000-00002A000000}"/>
    <cellStyle name="HeaderGrant" xfId="40" xr:uid="{00000000-0005-0000-0000-00002B000000}"/>
    <cellStyle name="HeaderGrant 2" xfId="92" xr:uid="{00000000-0005-0000-0000-00002C000000}"/>
    <cellStyle name="HeaderLEA" xfId="41" xr:uid="{00000000-0005-0000-0000-00002D000000}"/>
    <cellStyle name="Heading 1" xfId="42" builtinId="16" customBuiltin="1"/>
    <cellStyle name="Heading 2" xfId="43" builtinId="17" customBuiltin="1"/>
    <cellStyle name="Heading 3" xfId="44" builtinId="18" customBuiltin="1"/>
    <cellStyle name="Heading 4" xfId="45" builtinId="19" customBuiltin="1"/>
    <cellStyle name="Imported" xfId="46" xr:uid="{00000000-0005-0000-0000-000032000000}"/>
    <cellStyle name="Input" xfId="47" builtinId="20" customBuiltin="1"/>
    <cellStyle name="LEAName" xfId="48" xr:uid="{00000000-0005-0000-0000-000034000000}"/>
    <cellStyle name="LEAName 2" xfId="93" xr:uid="{00000000-0005-0000-0000-000035000000}"/>
    <cellStyle name="LEANumber" xfId="49" xr:uid="{00000000-0005-0000-0000-000036000000}"/>
    <cellStyle name="LEANumber 2" xfId="94" xr:uid="{00000000-0005-0000-0000-000037000000}"/>
    <cellStyle name="Linked Cell" xfId="50" builtinId="24" customBuiltin="1"/>
    <cellStyle name="log projection" xfId="51" xr:uid="{00000000-0005-0000-0000-000039000000}"/>
    <cellStyle name="Neutral" xfId="52" builtinId="28" customBuiltin="1"/>
    <cellStyle name="Normal" xfId="0" builtinId="0"/>
    <cellStyle name="Normal 2" xfId="53" xr:uid="{00000000-0005-0000-0000-00003C000000}"/>
    <cellStyle name="Normal 2 2" xfId="54" xr:uid="{00000000-0005-0000-0000-00003D000000}"/>
    <cellStyle name="Normal 2 2 2" xfId="87" xr:uid="{00000000-0005-0000-0000-00003E000000}"/>
    <cellStyle name="Normal 2 2 3" xfId="95" xr:uid="{00000000-0005-0000-0000-00003F000000}"/>
    <cellStyle name="Normal 2 3" xfId="86" xr:uid="{00000000-0005-0000-0000-000040000000}"/>
    <cellStyle name="Normal 3" xfId="55" xr:uid="{00000000-0005-0000-0000-000041000000}"/>
    <cellStyle name="Normal 3 2" xfId="96" xr:uid="{00000000-0005-0000-0000-000042000000}"/>
    <cellStyle name="Normal 4" xfId="56" xr:uid="{00000000-0005-0000-0000-000043000000}"/>
    <cellStyle name="Normal 4 2" xfId="97" xr:uid="{00000000-0005-0000-0000-000044000000}"/>
    <cellStyle name="Normal 5" xfId="57" xr:uid="{00000000-0005-0000-0000-000045000000}"/>
    <cellStyle name="Normal 6" xfId="58" xr:uid="{00000000-0005-0000-0000-000046000000}"/>
    <cellStyle name="Normal 7" xfId="84" xr:uid="{00000000-0005-0000-0000-000047000000}"/>
    <cellStyle name="Normal 8" xfId="99" xr:uid="{00000000-0005-0000-0000-000048000000}"/>
    <cellStyle name="Normal_0242 1998-99 ESTIMATE" xfId="59" xr:uid="{00000000-0005-0000-0000-000049000000}"/>
    <cellStyle name="Normal_Sheet1" xfId="60" xr:uid="{00000000-0005-0000-0000-00004A000000}"/>
    <cellStyle name="Normal_Special Schools - Band Descriptors" xfId="61" xr:uid="{00000000-0005-0000-0000-00004B000000}"/>
    <cellStyle name="Normal_Special Schools - Band Descriptors (Amended)" xfId="62" xr:uid="{00000000-0005-0000-0000-00004C000000}"/>
    <cellStyle name="Note" xfId="63" builtinId="10" customBuiltin="1"/>
    <cellStyle name="Number" xfId="64" xr:uid="{00000000-0005-0000-0000-00004E000000}"/>
    <cellStyle name="Number 2" xfId="98" xr:uid="{00000000-0005-0000-0000-00004F000000}"/>
    <cellStyle name="Output" xfId="65" builtinId="21" customBuiltin="1"/>
    <cellStyle name="Percent" xfId="100" builtinId="5"/>
    <cellStyle name="provisional PN158/97" xfId="66" xr:uid="{00000000-0005-0000-0000-000052000000}"/>
    <cellStyle name="SAPBEXaggData" xfId="67" xr:uid="{00000000-0005-0000-0000-000053000000}"/>
    <cellStyle name="SAPBEXchaText" xfId="68" xr:uid="{00000000-0005-0000-0000-000054000000}"/>
    <cellStyle name="SAPBEXHLevel0" xfId="69" xr:uid="{00000000-0005-0000-0000-000055000000}"/>
    <cellStyle name="SAPBEXHLevel2" xfId="70" xr:uid="{00000000-0005-0000-0000-000056000000}"/>
    <cellStyle name="SAPBEXHLevel3" xfId="71" xr:uid="{00000000-0005-0000-0000-000057000000}"/>
    <cellStyle name="SAPBEXstdItem" xfId="88" xr:uid="{00000000-0005-0000-0000-000058000000}"/>
    <cellStyle name="SAPBEXstdItemX" xfId="72" xr:uid="{00000000-0005-0000-0000-000059000000}"/>
    <cellStyle name="SAPBEXtitle" xfId="73" xr:uid="{00000000-0005-0000-0000-00005A000000}"/>
    <cellStyle name="Style 1" xfId="74" xr:uid="{00000000-0005-0000-0000-00005B000000}"/>
    <cellStyle name="sub" xfId="75" xr:uid="{00000000-0005-0000-0000-00005C000000}"/>
    <cellStyle name="table imported" xfId="76" xr:uid="{00000000-0005-0000-0000-00005D000000}"/>
    <cellStyle name="table sum" xfId="77" xr:uid="{00000000-0005-0000-0000-00005E000000}"/>
    <cellStyle name="table values" xfId="78" xr:uid="{00000000-0005-0000-0000-00005F000000}"/>
    <cellStyle name="Title" xfId="79" builtinId="15" customBuiltin="1"/>
    <cellStyle name="Total" xfId="80" builtinId="25" customBuiltin="1"/>
    <cellStyle name="u5shares" xfId="81" xr:uid="{00000000-0005-0000-0000-000062000000}"/>
    <cellStyle name="Variable assumptions" xfId="82" xr:uid="{00000000-0005-0000-0000-000063000000}"/>
    <cellStyle name="Warning Text" xfId="83" builtinId="11" customBuiltin="1"/>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s>
  <tableStyles count="0" defaultTableStyle="TableStyleMedium2" defaultPivotStyle="PivotStyleLight16"/>
  <colors>
    <mruColors>
      <color rgb="FF92D05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2.xml"/><Relationship Id="rId63" Type="http://schemas.openxmlformats.org/officeDocument/2006/relationships/externalLink" Target="externalLinks/externalLink18.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externalLink" Target="externalLinks/externalLink1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sharedStrings" Target="sharedString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7" Type="http://schemas.openxmlformats.org/officeDocument/2006/relationships/worksheet" Target="worksheets/sheet7.xml"/><Relationship Id="rId71"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537883</xdr:colOff>
      <xdr:row>1</xdr:row>
      <xdr:rowOff>112058</xdr:rowOff>
    </xdr:from>
    <xdr:to>
      <xdr:col>2</xdr:col>
      <xdr:colOff>7470</xdr:colOff>
      <xdr:row>10</xdr:row>
      <xdr:rowOff>7470</xdr:rowOff>
    </xdr:to>
    <xdr:pic>
      <xdr:nvPicPr>
        <xdr:cNvPr id="4" name="Picture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3" y="268940"/>
          <a:ext cx="9651999" cy="1307354"/>
        </a:xfrm>
        <a:prstGeom prst="rect">
          <a:avLst/>
        </a:prstGeom>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537883</xdr:colOff>
      <xdr:row>1</xdr:row>
      <xdr:rowOff>112058</xdr:rowOff>
    </xdr:from>
    <xdr:to>
      <xdr:col>2</xdr:col>
      <xdr:colOff>7470</xdr:colOff>
      <xdr:row>10</xdr:row>
      <xdr:rowOff>7470</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058" y="273983"/>
          <a:ext cx="9651812" cy="1355912"/>
        </a:xfrm>
        <a:prstGeom prst="rect">
          <a:avLst/>
        </a:prstGeom>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1263090</xdr:colOff>
      <xdr:row>6</xdr:row>
      <xdr:rowOff>25585</xdr:rowOff>
    </xdr:from>
    <xdr:to>
      <xdr:col>7</xdr:col>
      <xdr:colOff>25587</xdr:colOff>
      <xdr:row>12</xdr:row>
      <xdr:rowOff>160056</xdr:rowOff>
    </xdr:to>
    <xdr:sp macro="" textlink="">
      <xdr:nvSpPr>
        <xdr:cNvPr id="3" name="Right Brace 2">
          <a:extLst>
            <a:ext uri="{FF2B5EF4-FFF2-40B4-BE49-F238E27FC236}">
              <a16:creationId xmlns:a16="http://schemas.microsoft.com/office/drawing/2014/main" id="{00000000-0008-0000-1600-000003000000}"/>
            </a:ext>
          </a:extLst>
        </xdr:cNvPr>
        <xdr:cNvSpPr/>
      </xdr:nvSpPr>
      <xdr:spPr>
        <a:xfrm>
          <a:off x="10911355" y="1224614"/>
          <a:ext cx="353732" cy="134470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1703295</xdr:colOff>
      <xdr:row>7</xdr:row>
      <xdr:rowOff>1</xdr:rowOff>
    </xdr:from>
    <xdr:to>
      <xdr:col>4</xdr:col>
      <xdr:colOff>1</xdr:colOff>
      <xdr:row>11</xdr:row>
      <xdr:rowOff>145677</xdr:rowOff>
    </xdr:to>
    <xdr:sp macro="" textlink="">
      <xdr:nvSpPr>
        <xdr:cNvPr id="5" name="Right Brace 4">
          <a:extLst>
            <a:ext uri="{FF2B5EF4-FFF2-40B4-BE49-F238E27FC236}">
              <a16:creationId xmlns:a16="http://schemas.microsoft.com/office/drawing/2014/main" id="{00000000-0008-0000-1D00-000005000000}"/>
            </a:ext>
          </a:extLst>
        </xdr:cNvPr>
        <xdr:cNvSpPr/>
      </xdr:nvSpPr>
      <xdr:spPr>
        <a:xfrm>
          <a:off x="7384677" y="2028266"/>
          <a:ext cx="470648" cy="7732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21" name="Right Brace 20">
          <a:extLst>
            <a:ext uri="{FF2B5EF4-FFF2-40B4-BE49-F238E27FC236}">
              <a16:creationId xmlns:a16="http://schemas.microsoft.com/office/drawing/2014/main" id="{00000000-0008-0000-1D00-000015000000}"/>
            </a:ext>
          </a:extLst>
        </xdr:cNvPr>
        <xdr:cNvSpPr/>
      </xdr:nvSpPr>
      <xdr:spPr>
        <a:xfrm>
          <a:off x="4915648" y="2136588"/>
          <a:ext cx="324970" cy="58270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54</xdr:row>
      <xdr:rowOff>6350</xdr:rowOff>
    </xdr:from>
    <xdr:to>
      <xdr:col>11</xdr:col>
      <xdr:colOff>19050</xdr:colOff>
      <xdr:row>117</xdr:row>
      <xdr:rowOff>97139</xdr:rowOff>
    </xdr:to>
    <xdr:pic>
      <xdr:nvPicPr>
        <xdr:cNvPr id="3" name="Picture 2">
          <a:extLst>
            <a:ext uri="{FF2B5EF4-FFF2-40B4-BE49-F238E27FC236}">
              <a16:creationId xmlns:a16="http://schemas.microsoft.com/office/drawing/2014/main" id="{A198B954-320D-0368-2F54-44AB7CA28C5F}"/>
            </a:ext>
          </a:extLst>
        </xdr:cNvPr>
        <xdr:cNvPicPr>
          <a:picLocks noChangeAspect="1"/>
        </xdr:cNvPicPr>
      </xdr:nvPicPr>
      <xdr:blipFill rotWithShape="1">
        <a:blip xmlns:r="http://schemas.openxmlformats.org/officeDocument/2006/relationships" r:embed="rId1"/>
        <a:srcRect l="61465" r="10606"/>
        <a:stretch/>
      </xdr:blipFill>
      <xdr:spPr>
        <a:xfrm>
          <a:off x="638175" y="10464800"/>
          <a:ext cx="10210800" cy="102920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2" name="Left Arrow 3">
          <a:extLst>
            <a:ext uri="{FF2B5EF4-FFF2-40B4-BE49-F238E27FC236}">
              <a16:creationId xmlns:a16="http://schemas.microsoft.com/office/drawing/2014/main" id="{00000000-0008-0000-4800-000002000000}"/>
            </a:ext>
          </a:extLst>
        </xdr:cNvPr>
        <xdr:cNvSpPr/>
      </xdr:nvSpPr>
      <xdr:spPr>
        <a:xfrm flipV="1">
          <a:off x="5675779" y="1181473"/>
          <a:ext cx="658346"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3" name="Left Arrow 4">
          <a:extLst>
            <a:ext uri="{FF2B5EF4-FFF2-40B4-BE49-F238E27FC236}">
              <a16:creationId xmlns:a16="http://schemas.microsoft.com/office/drawing/2014/main" id="{00000000-0008-0000-4800-000003000000}"/>
            </a:ext>
          </a:extLst>
        </xdr:cNvPr>
        <xdr:cNvSpPr/>
      </xdr:nvSpPr>
      <xdr:spPr>
        <a:xfrm flipV="1">
          <a:off x="4905375" y="3076575"/>
          <a:ext cx="619499"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lincolnshirecc.sharepoint.com/sites/FinancialServices/Childrens/Children's%20Education/Head%20of%20Service%20SEND%20(Sheridan%20Dodsworth)/Sheridan%20Dodsworth/Special%20Schools/23-24%20Special%20Schools/23-24%20Budget%20Shares/Special%20Schools%202021-22%20Budget%20Share%203%25%20MFG%20Check%20v2.xlsx" TargetMode="External"/><Relationship Id="rId2" Type="http://schemas.microsoft.com/office/2019/04/relationships/externalLinkLongPath" Target="/sites/FinancialServices/Childrens/Children's%20Education/Head%20of%20Service%20SEND%20(Sheridan%20Dodsworth)/Sheridan%20Dodsworth/Special%20Schools/23-24%20Special%20Schools/23-24%20Budget%20Shares/Special%20Schools%202021-22%20Budget%20Share%203%25%20MFG%20Check%20v2.xlsx?7C0F775E" TargetMode="External"/><Relationship Id="rId1" Type="http://schemas.openxmlformats.org/officeDocument/2006/relationships/externalLinkPath" Target="file:///\\7C0F775E\Special%20Schools%202021-22%20Budget%20Share%203%25%20MFG%20Check%20v2.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lincolnshirecc-my.sharepoint.com/personal/mark_popplewell_lincolnshire_gov_uk/Documents/Desktop/Special%20Schools%202023-24%20Budget%20Share%20v4%20-%20DfE%20MFG.xlsx" TargetMode="External"/><Relationship Id="rId1" Type="http://schemas.openxmlformats.org/officeDocument/2006/relationships/externalLinkPath" Target="https://lincolnshirecc-my.sharepoint.com/personal/mark_popplewell_lincolnshire_gov_uk/Documents/Desktop/Special%20Schools%202023-24%20Budget%20Share%20v4%20-%20DfE%20MFG.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lincolnshirecc-my.sharepoint.com/personal/mark_popplewell_lincolnshire_gov_uk/Documents/Desktop/Special%20Schools%202022-23%20Budget%20Share%2004.11.22.xlsx" TargetMode="External"/><Relationship Id="rId1" Type="http://schemas.openxmlformats.org/officeDocument/2006/relationships/externalLinkPath" Target="https://lincolnshirecc-my.sharepoint.com/personal/mark_popplewell_lincolnshire_gov_uk/Documents/Desktop/Special%20Schools%202022-23%20Budget%20Share%2004.11.22.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C:\Users\david.leonard\AppData\Local\Microsoft\Windows\INetCache\Content.Outlook\74J96CLO\Copy%20of%20Special%20Schools%202024-25%20v7%203.4%25%20Funding%20-%20modelling%20v1.xlsx" TargetMode="External"/><Relationship Id="rId1" Type="http://schemas.openxmlformats.org/officeDocument/2006/relationships/externalLinkPath" Target="file:///C:\Users\david.leonard\AppData\Local\Microsoft\Windows\INetCache\Content.Outlook\74J96CLO\Copy%20of%20Special%20Schools%202024-25%20v7%203.4%25%20Funding%20-%20modelling%20v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58075333/Teaching%20Assistants%20Under%205%20Years%20Salary%20Scales%202020-21.xlsx%20-%20Updated%2027.08.20%202.75%25%2015.09.20"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sites/FinancialServices/All%20Teams%20%20Shared%20Work/Salary%20Scales/Schools%20Salary%20Scales/Teaching%20Assistants%20Under%205%20Years%20Salary%20Scales%202022-23%20Nov%2022-Mar%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https://lincolnshirecc.sharepoint.com/sites/FinancialServices/All%20Teams%20%20Shared%20Work/Salary%20Scales/Schools%20Salary%20Scales/Salary%20Scales%202023-24/Teaching%20Assistants%20Under%205%20Years%20Salary%20Scales%202023-24%20Updated.xlsx" TargetMode="External"/><Relationship Id="rId1" Type="http://schemas.openxmlformats.org/officeDocument/2006/relationships/externalLinkPath" Target="/sites/FinancialServices/All%20Teams%20%20Shared%20Work/Salary%20Scales/Schools%20Salary%20Scales/Salary%20Scales%202023-24/Teaching%20Assistants%20Under%205%20Years%20Salary%20Scales%202023-24%20Updated.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ttps://lincolnshirecc.sharepoint.com/sites/FinancialServices/Childrens/Children's%20Education/Head%20of%20Service%20SEND%20(Sheridan%20Dodsworth)/Sheridan%20Dodsworth/Special%20Schools/Special%20School%20Place%20Numbers%20-%20ESFA%20Return.xlsx" TargetMode="External"/><Relationship Id="rId1" Type="http://schemas.openxmlformats.org/officeDocument/2006/relationships/externalLinkPath" Target="/sites/FinancialServices/Childrens/Children's%20Education/Head%20of%20Service%20SEND%20(Sheridan%20Dodsworth)/Sheridan%20Dodsworth/Special%20Schools/Special%20School%20Place%20Numbers%20-%20ESFA%20Return.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vid.leonard\AppData\Roaming\OpenText\OTEdit\EC_imp\c24473882\Special%20School%20Place%20Numbers%20-%20ESFA%20Return%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_Ge_M2v8WE-FLT4waiIJ8v3vyY3kdpROubYoNsS7YN6C1OxHo8sVSoo2DQZt0ykd" itemId="017CWL5FYCH4ZVUWKPKJAJ6QATGAX32LFL">
      <xxl21:absoluteUrl r:id="rId3"/>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DfE MFG"/>
      <sheetName val="DfE 2122 Funding Detail"/>
      <sheetName val="DfE 2122 Band Calculations"/>
      <sheetName val="DfE 2122 MFG Protection"/>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MFG"/>
      <sheetName val="2021 Band Calculations"/>
      <sheetName val="2021 FSM Calculation"/>
      <sheetName val="2021 Other Funding"/>
      <sheetName val="2021 Band Moderations"/>
      <sheetName val="MFG Tab"/>
      <sheetName val="2122 Budget Requirement"/>
      <sheetName val="2122 Funding Detail"/>
      <sheetName val="2122 Band Calculations"/>
      <sheetName val="2021 Funding Detail"/>
      <sheetName val="2122 MFG Protection"/>
      <sheetName val="202021 MFG Protection"/>
      <sheetName val="Group Sizes"/>
      <sheetName val="2122 FSM Calculation"/>
      <sheetName val="2122 Other Funding"/>
      <sheetName val="2122 Band Values"/>
      <sheetName val="2122 Teachers Pay Scales"/>
      <sheetName val="2122 TA Pay Scales"/>
      <sheetName val="2122 GLEA Pay Scales"/>
      <sheetName val="2122 Pay &amp; Pension Allocations"/>
      <sheetName val="Pay &amp; Pension Workings"/>
      <sheetName val="TA Workings"/>
      <sheetName val="2122 Band Moderations"/>
      <sheetName val="2122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79">
          <cell r="D79" t="str">
            <v>School Size 5 Transition Point</v>
          </cell>
        </row>
      </sheetData>
      <sheetData sheetId="21">
        <row r="3">
          <cell r="A3" t="str">
            <v>DfE Number</v>
          </cell>
        </row>
      </sheetData>
      <sheetData sheetId="22"/>
      <sheetData sheetId="23">
        <row r="10">
          <cell r="L10">
            <v>2325.8415308553208</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
          <cell r="A4">
            <v>9257010</v>
          </cell>
        </row>
      </sheetData>
      <sheetData sheetId="60">
        <row r="18">
          <cell r="G18">
            <v>0</v>
          </cell>
        </row>
      </sheetData>
      <sheetData sheetId="61"/>
      <sheetData sheetId="62"/>
      <sheetData sheetId="63"/>
      <sheetData sheetId="64"/>
      <sheetData sheetId="65"/>
      <sheetData sheetId="66"/>
      <sheetData sheetId="67"/>
      <sheetData sheetId="68"/>
      <sheetData sheetId="69"/>
      <sheetData sheetId="70"/>
      <sheetData sheetId="71">
        <row r="56">
          <cell r="B56"/>
          <cell r="C56"/>
          <cell r="D56">
            <v>648386.43375133898</v>
          </cell>
          <cell r="J56">
            <v>1115185.3492188419</v>
          </cell>
          <cell r="K56"/>
        </row>
        <row r="58">
          <cell r="B58" t="str">
            <v>Teachers' Supplementary Pension Grant - Confirmed Allocations to High Needs Institutions</v>
          </cell>
          <cell r="C58"/>
        </row>
        <row r="60">
          <cell r="B60" t="str">
            <v>School</v>
          </cell>
          <cell r="C60"/>
          <cell r="D60" t="str">
            <v>19/20 Allocation</v>
          </cell>
        </row>
        <row r="61">
          <cell r="B61" t="str">
            <v>Woodlands Academy</v>
          </cell>
          <cell r="C61"/>
          <cell r="D61">
            <v>8262.3474421185565</v>
          </cell>
        </row>
        <row r="62">
          <cell r="B62" t="str">
            <v>The Greenfields Academy</v>
          </cell>
          <cell r="C62"/>
          <cell r="D62">
            <v>1668.5380944342503</v>
          </cell>
        </row>
        <row r="64">
          <cell r="D64">
            <v>9930.885536552807</v>
          </cell>
        </row>
        <row r="65">
          <cell r="N65" t="str">
            <v>Main Scale 5 (80%)</v>
          </cell>
          <cell r="U65" t="str">
            <v>Main Scale 5 (71%)</v>
          </cell>
          <cell r="V65"/>
        </row>
        <row r="66">
          <cell r="N66"/>
          <cell r="U66"/>
          <cell r="V66"/>
        </row>
        <row r="67">
          <cell r="D67" t="str">
            <v>Main Scale 5 (Fully)</v>
          </cell>
          <cell r="E67"/>
          <cell r="F67"/>
          <cell r="G67"/>
          <cell r="H67"/>
          <cell r="I67"/>
          <cell r="J67"/>
          <cell r="L67"/>
          <cell r="M67"/>
          <cell r="N67"/>
          <cell r="O67"/>
          <cell r="U67"/>
          <cell r="V67"/>
        </row>
        <row r="68">
          <cell r="C68" t="str">
            <v>2020/21</v>
          </cell>
          <cell r="D68" t="str">
            <v>2021/22</v>
          </cell>
          <cell r="K68" t="str">
            <v>Total 2021/22</v>
          </cell>
          <cell r="M68"/>
          <cell r="N68" t="str">
            <v>2021/22</v>
          </cell>
          <cell r="O68"/>
          <cell r="P68" t="str">
            <v>Total 2021/22</v>
          </cell>
          <cell r="U68" t="str">
            <v>2021/22</v>
          </cell>
          <cell r="V68"/>
        </row>
        <row r="69">
          <cell r="C69" t="str">
            <v>Pay &amp; Pension</v>
          </cell>
          <cell r="D69" t="str">
            <v>Band All'</v>
          </cell>
          <cell r="J69" t="str">
            <v>Staffig Blo'</v>
          </cell>
          <cell r="K69"/>
          <cell r="L69" t="str">
            <v>Diff.</v>
          </cell>
          <cell r="M69"/>
          <cell r="N69" t="str">
            <v>Band All'</v>
          </cell>
          <cell r="O69" t="str">
            <v>Staffig Blo'</v>
          </cell>
          <cell r="P69"/>
          <cell r="Q69" t="str">
            <v>Diff.</v>
          </cell>
          <cell r="R69" t="str">
            <v>v2</v>
          </cell>
          <cell r="S69" t="str">
            <v>v3</v>
          </cell>
          <cell r="T69" t="str">
            <v>Sch' Size</v>
          </cell>
          <cell r="U69" t="str">
            <v>Band All'</v>
          </cell>
          <cell r="V69" t="str">
            <v>Total</v>
          </cell>
        </row>
        <row r="70">
          <cell r="A70">
            <v>9257010</v>
          </cell>
          <cell r="B70" t="str">
            <v>John Fielding School</v>
          </cell>
          <cell r="C70">
            <v>42698.210659650227</v>
          </cell>
          <cell r="D70">
            <v>52115.332193693306</v>
          </cell>
          <cell r="K70">
            <v>52115.332193693306</v>
          </cell>
          <cell r="L70">
            <v>9417.121534043079</v>
          </cell>
          <cell r="M70"/>
          <cell r="N70">
            <v>54674.819645577641</v>
          </cell>
          <cell r="O70">
            <v>20065.006250000006</v>
          </cell>
          <cell r="P70">
            <v>74739.82589557764</v>
          </cell>
          <cell r="Q70">
            <v>32041.615235927413</v>
          </cell>
          <cell r="R70">
            <v>15282.377500000002</v>
          </cell>
          <cell r="S70">
            <v>13435.682499999995</v>
          </cell>
          <cell r="T70" t="str">
            <v>School Size 5</v>
          </cell>
          <cell r="U70">
            <v>52115.332193693306</v>
          </cell>
          <cell r="V70">
            <v>65551.014693693302</v>
          </cell>
        </row>
        <row r="71">
          <cell r="A71">
            <v>9257005</v>
          </cell>
          <cell r="B71" t="str">
            <v>Sandon School</v>
          </cell>
          <cell r="C71">
            <v>53312.429854825234</v>
          </cell>
          <cell r="D71">
            <v>53413.904418921054</v>
          </cell>
          <cell r="K71">
            <v>53413.904418921054</v>
          </cell>
          <cell r="L71">
            <v>101.47456409582082</v>
          </cell>
          <cell r="M71"/>
          <cell r="N71">
            <v>56037.167331421908</v>
          </cell>
          <cell r="O71">
            <v>20065.006250000006</v>
          </cell>
          <cell r="P71">
            <v>76102.173581421914</v>
          </cell>
          <cell r="Q71">
            <v>22789.74372659668</v>
          </cell>
          <cell r="R71">
            <v>15282.377500000002</v>
          </cell>
          <cell r="S71">
            <v>10726.717499999999</v>
          </cell>
          <cell r="T71" t="str">
            <v>School Size 4</v>
          </cell>
          <cell r="U71">
            <v>53413.904418921054</v>
          </cell>
          <cell r="V71">
            <v>64140.621918921053</v>
          </cell>
        </row>
        <row r="72">
          <cell r="A72">
            <v>9257025</v>
          </cell>
          <cell r="B72" t="str">
            <v>St Bernard's School</v>
          </cell>
          <cell r="C72">
            <v>51683.323330562751</v>
          </cell>
          <cell r="D72">
            <v>48426.979369799752</v>
          </cell>
          <cell r="K72">
            <v>48426.979369799752</v>
          </cell>
          <cell r="L72">
            <v>-3256.3439607629989</v>
          </cell>
          <cell r="M72"/>
          <cell r="N72">
            <v>50805.324490368002</v>
          </cell>
          <cell r="O72">
            <v>20065.006250000006</v>
          </cell>
          <cell r="P72">
            <v>70870.330740368008</v>
          </cell>
          <cell r="Q72">
            <v>19187.007409805257</v>
          </cell>
          <cell r="R72">
            <v>15282.377500000002</v>
          </cell>
          <cell r="S72">
            <v>10726.717499999999</v>
          </cell>
          <cell r="T72" t="str">
            <v>School Size 4</v>
          </cell>
          <cell r="U72">
            <v>48426.979369799752</v>
          </cell>
          <cell r="V72">
            <v>59153.696869799751</v>
          </cell>
        </row>
        <row r="73">
          <cell r="A73">
            <v>9257011</v>
          </cell>
          <cell r="B73" t="str">
            <v>Spalding The Garth</v>
          </cell>
          <cell r="C73">
            <v>40187.942994863319</v>
          </cell>
          <cell r="D73">
            <v>35706.426283977962</v>
          </cell>
          <cell r="K73">
            <v>35706.426283977962</v>
          </cell>
          <cell r="L73">
            <v>-4481.5167108853566</v>
          </cell>
          <cell r="M73"/>
          <cell r="N73">
            <v>37460.039782704422</v>
          </cell>
          <cell r="O73">
            <v>20065.006250000006</v>
          </cell>
          <cell r="P73">
            <v>57525.046032704427</v>
          </cell>
          <cell r="Q73">
            <v>17337.103037841109</v>
          </cell>
          <cell r="R73">
            <v>15282.377500000002</v>
          </cell>
          <cell r="S73">
            <v>10297.022499999992</v>
          </cell>
          <cell r="T73" t="str">
            <v>School Size 3 Transition Point</v>
          </cell>
          <cell r="U73">
            <v>35706.426283977962</v>
          </cell>
          <cell r="V73">
            <v>46003.448783977954</v>
          </cell>
        </row>
        <row r="74">
          <cell r="A74">
            <v>9257024</v>
          </cell>
          <cell r="B74" t="str">
            <v>Eresby Special School</v>
          </cell>
          <cell r="C74">
            <v>54885.371036422905</v>
          </cell>
          <cell r="D74">
            <v>48645.932806774224</v>
          </cell>
          <cell r="K74">
            <v>48645.932806774224</v>
          </cell>
          <cell r="L74">
            <v>-6239.4382296486801</v>
          </cell>
          <cell r="M74"/>
          <cell r="N74">
            <v>51035.031165418375</v>
          </cell>
          <cell r="O74">
            <v>20065.006250000006</v>
          </cell>
          <cell r="P74">
            <v>71100.037415418381</v>
          </cell>
          <cell r="Q74">
            <v>16214.666378995476</v>
          </cell>
          <cell r="R74">
            <v>15282.377500000002</v>
          </cell>
          <cell r="S74">
            <v>10726.717499999999</v>
          </cell>
          <cell r="T74" t="str">
            <v>School Size 4</v>
          </cell>
          <cell r="U74">
            <v>48645.932806774224</v>
          </cell>
          <cell r="V74">
            <v>59372.650306774223</v>
          </cell>
        </row>
        <row r="75">
          <cell r="A75">
            <v>9257031</v>
          </cell>
          <cell r="B75" t="str">
            <v>Fortuna School</v>
          </cell>
          <cell r="C75">
            <v>51182.576930797077</v>
          </cell>
          <cell r="D75">
            <v>47091.869621208272</v>
          </cell>
          <cell r="K75">
            <v>47091.869621208272</v>
          </cell>
          <cell r="L75">
            <v>-4090.7073095888045</v>
          </cell>
          <cell r="M75"/>
          <cell r="N75">
            <v>49404.644850833341</v>
          </cell>
          <cell r="O75"/>
          <cell r="P75">
            <v>49404.644850833341</v>
          </cell>
          <cell r="Q75">
            <v>-1777.9320799637353</v>
          </cell>
          <cell r="R75"/>
          <cell r="S75">
            <v>13435.682499999995</v>
          </cell>
          <cell r="T75" t="str">
            <v>School Size 5</v>
          </cell>
          <cell r="U75">
            <v>47091.869621208272</v>
          </cell>
          <cell r="V75">
            <v>60527.552121208268</v>
          </cell>
        </row>
        <row r="76">
          <cell r="A76">
            <v>9257033</v>
          </cell>
          <cell r="B76" t="str">
            <v>Warren Wood Specialist Academy</v>
          </cell>
          <cell r="C76">
            <v>63767.332078207386</v>
          </cell>
          <cell r="D76">
            <v>60237.762512963323</v>
          </cell>
          <cell r="K76">
            <v>60237.762512963323</v>
          </cell>
          <cell r="L76">
            <v>-3529.5695652440627</v>
          </cell>
          <cell r="M76"/>
          <cell r="N76">
            <v>63196.158646916694</v>
          </cell>
          <cell r="O76">
            <v>20065.006250000006</v>
          </cell>
          <cell r="P76">
            <v>83261.1648969167</v>
          </cell>
          <cell r="Q76">
            <v>19493.832818709314</v>
          </cell>
          <cell r="R76">
            <v>15282.377500000002</v>
          </cell>
          <cell r="S76">
            <v>10726.717499999999</v>
          </cell>
          <cell r="T76" t="str">
            <v>School Size 4</v>
          </cell>
          <cell r="U76">
            <v>60237.762512963323</v>
          </cell>
          <cell r="V76">
            <v>70964.480012963322</v>
          </cell>
        </row>
        <row r="77">
          <cell r="A77">
            <v>9257008</v>
          </cell>
          <cell r="B77" t="str">
            <v>Gosberton House School</v>
          </cell>
          <cell r="C77">
            <v>64889.46243302607</v>
          </cell>
          <cell r="D77">
            <v>62169.272889827458</v>
          </cell>
          <cell r="K77">
            <v>62169.272889827458</v>
          </cell>
          <cell r="L77">
            <v>-2720.1895431986122</v>
          </cell>
          <cell r="M77"/>
          <cell r="N77">
            <v>65222.529333879102</v>
          </cell>
          <cell r="O77">
            <v>20065.006250000006</v>
          </cell>
          <cell r="P77">
            <v>85287.5355838791</v>
          </cell>
          <cell r="Q77">
            <v>20398.07315085303</v>
          </cell>
          <cell r="R77">
            <v>15282.377500000002</v>
          </cell>
          <cell r="S77">
            <v>10726.717499999999</v>
          </cell>
          <cell r="T77" t="str">
            <v>School Size 4</v>
          </cell>
          <cell r="U77">
            <v>62169.272889827458</v>
          </cell>
          <cell r="V77">
            <v>72895.990389827464</v>
          </cell>
        </row>
        <row r="78">
          <cell r="A78">
            <v>9257034</v>
          </cell>
          <cell r="B78" t="str">
            <v>Aegir Specialist Academy</v>
          </cell>
          <cell r="C78">
            <v>82273.379758953335</v>
          </cell>
          <cell r="D78">
            <v>70341.183649202605</v>
          </cell>
          <cell r="K78">
            <v>70341.183649202605</v>
          </cell>
          <cell r="L78">
            <v>-11932.19610975073</v>
          </cell>
          <cell r="M78"/>
          <cell r="N78">
            <v>73795.778857992482</v>
          </cell>
          <cell r="O78">
            <v>21940.122499999983</v>
          </cell>
          <cell r="P78">
            <v>95735.901357992465</v>
          </cell>
          <cell r="Q78">
            <v>13462.52159903913</v>
          </cell>
          <cell r="R78">
            <v>16918.096250000002</v>
          </cell>
          <cell r="S78">
            <v>12081.199999999997</v>
          </cell>
          <cell r="T78" t="str">
            <v>School Size 4 Transition Point</v>
          </cell>
          <cell r="U78">
            <v>70341.183649202605</v>
          </cell>
          <cell r="V78">
            <v>82422.383649202602</v>
          </cell>
        </row>
        <row r="79">
          <cell r="A79">
            <v>9257002</v>
          </cell>
          <cell r="B79" t="str">
            <v>Ambergate Sports College</v>
          </cell>
          <cell r="C79">
            <v>97616.284973640199</v>
          </cell>
          <cell r="D79">
            <v>87842.94801555897</v>
          </cell>
          <cell r="K79">
            <v>87842.94801555897</v>
          </cell>
          <cell r="L79">
            <v>-9773.3369580812287</v>
          </cell>
          <cell r="M79"/>
          <cell r="N79">
            <v>92157.089626452493</v>
          </cell>
          <cell r="O79">
            <v>23815.23874999996</v>
          </cell>
          <cell r="P79">
            <v>115972.32837645245</v>
          </cell>
          <cell r="Q79">
            <v>18356.043402812254</v>
          </cell>
          <cell r="R79">
            <v>18553.815000000002</v>
          </cell>
          <cell r="S79">
            <v>13435.682499999995</v>
          </cell>
          <cell r="T79" t="str">
            <v>School Size 5</v>
          </cell>
          <cell r="U79">
            <v>87842.94801555897</v>
          </cell>
          <cell r="V79">
            <v>101278.63051555897</v>
          </cell>
        </row>
        <row r="80">
          <cell r="A80">
            <v>9257009</v>
          </cell>
          <cell r="B80" t="str">
            <v>The Priory School</v>
          </cell>
          <cell r="C80">
            <v>90501.045838232065</v>
          </cell>
          <cell r="D80">
            <v>81013.209816029266</v>
          </cell>
          <cell r="K80">
            <v>81013.209816029266</v>
          </cell>
          <cell r="L80">
            <v>-9487.8360222027986</v>
          </cell>
          <cell r="M80"/>
          <cell r="N80">
            <v>84991.929421813373</v>
          </cell>
          <cell r="O80"/>
          <cell r="P80">
            <v>84991.929421813373</v>
          </cell>
          <cell r="Q80">
            <v>-5509.1164164186921</v>
          </cell>
          <cell r="R80">
            <v>18553.815000000002</v>
          </cell>
          <cell r="S80">
            <v>12081.199999999997</v>
          </cell>
          <cell r="T80" t="str">
            <v>School Size 4 Transition Point</v>
          </cell>
          <cell r="U80">
            <v>81013.209816029266</v>
          </cell>
          <cell r="V80">
            <v>93094.409816029263</v>
          </cell>
        </row>
        <row r="81">
          <cell r="A81">
            <v>9257029</v>
          </cell>
          <cell r="B81" t="str">
            <v>The Greenfields Academy</v>
          </cell>
          <cell r="C81">
            <v>48607.35085196502</v>
          </cell>
          <cell r="D81">
            <v>43634.245274666609</v>
          </cell>
          <cell r="K81">
            <v>43634.245274666609</v>
          </cell>
          <cell r="L81">
            <v>-4973.1055772984109</v>
          </cell>
          <cell r="M81"/>
          <cell r="N81">
            <v>45777.209706666661</v>
          </cell>
          <cell r="O81"/>
          <cell r="P81">
            <v>45777.209706666661</v>
          </cell>
          <cell r="Q81">
            <v>-2830.1411452983593</v>
          </cell>
          <cell r="R81"/>
          <cell r="S81">
            <v>12081.199999999997</v>
          </cell>
          <cell r="T81" t="str">
            <v>School Size 4 Transition Point</v>
          </cell>
          <cell r="U81">
            <v>43634.245274666609</v>
          </cell>
          <cell r="V81">
            <v>55715.445274666607</v>
          </cell>
        </row>
        <row r="82">
          <cell r="A82">
            <v>9257032</v>
          </cell>
          <cell r="B82" t="str">
            <v>Athena School</v>
          </cell>
          <cell r="C82">
            <v>48946.303673923634</v>
          </cell>
          <cell r="D82">
            <v>55419.387413583267</v>
          </cell>
          <cell r="K82">
            <v>55419.387413583267</v>
          </cell>
          <cell r="L82">
            <v>6473.0837396596326</v>
          </cell>
          <cell r="M82"/>
          <cell r="N82">
            <v>58141.143578333329</v>
          </cell>
          <cell r="O82"/>
          <cell r="P82">
            <v>58141.143578333329</v>
          </cell>
          <cell r="Q82">
            <v>9194.839904409695</v>
          </cell>
          <cell r="R82"/>
          <cell r="S82">
            <v>12081.199999999997</v>
          </cell>
          <cell r="T82" t="str">
            <v>School Size 4 Transition Point</v>
          </cell>
          <cell r="U82">
            <v>55419.387413583267</v>
          </cell>
          <cell r="V82">
            <v>67500.587413583271</v>
          </cell>
        </row>
        <row r="83">
          <cell r="A83">
            <v>9257030</v>
          </cell>
          <cell r="B83" t="str">
            <v>Woodlands Academy</v>
          </cell>
          <cell r="C83">
            <v>50615.078033627906</v>
          </cell>
          <cell r="D83">
            <v>42806.363388874946</v>
          </cell>
          <cell r="K83">
            <v>42806.363388874946</v>
          </cell>
          <cell r="L83">
            <v>-7808.7146447529594</v>
          </cell>
          <cell r="M83"/>
          <cell r="N83">
            <v>44908.6688975</v>
          </cell>
          <cell r="O83"/>
          <cell r="P83">
            <v>44908.6688975</v>
          </cell>
          <cell r="Q83">
            <v>-5706.4091361279061</v>
          </cell>
          <cell r="R83"/>
          <cell r="S83">
            <v>12081.199999999997</v>
          </cell>
          <cell r="T83" t="str">
            <v>School Size 4 Transition Point</v>
          </cell>
          <cell r="U83">
            <v>42806.363388874946</v>
          </cell>
          <cell r="V83">
            <v>54887.563388874943</v>
          </cell>
        </row>
        <row r="84">
          <cell r="A84">
            <v>9257028</v>
          </cell>
          <cell r="B84" t="str">
            <v>Bourne Willoughby</v>
          </cell>
          <cell r="C84">
            <v>71771.03517003126</v>
          </cell>
          <cell r="D84">
            <v>65332.433220583553</v>
          </cell>
          <cell r="K84">
            <v>65332.433220583553</v>
          </cell>
          <cell r="L84">
            <v>-6438.6019494477077</v>
          </cell>
          <cell r="M84"/>
          <cell r="N84">
            <v>68541.038749714018</v>
          </cell>
          <cell r="O84">
            <v>23815.23874999996</v>
          </cell>
          <cell r="P84">
            <v>92356.277499713979</v>
          </cell>
          <cell r="Q84">
            <v>20585.242329682718</v>
          </cell>
          <cell r="R84">
            <v>18553.815000000002</v>
          </cell>
          <cell r="S84">
            <v>13435.682499999995</v>
          </cell>
          <cell r="T84" t="str">
            <v>School Size 5</v>
          </cell>
          <cell r="U84">
            <v>65332.433220583553</v>
          </cell>
          <cell r="V84">
            <v>78768.115720583548</v>
          </cell>
        </row>
        <row r="85">
          <cell r="A85">
            <v>9257021</v>
          </cell>
          <cell r="B85" t="str">
            <v>St Lawrence School</v>
          </cell>
          <cell r="C85">
            <v>109449.10323009848</v>
          </cell>
          <cell r="D85">
            <v>101418.20351197985</v>
          </cell>
          <cell r="K85">
            <v>101418.20351197985</v>
          </cell>
          <cell r="L85">
            <v>-8030.8997181186278</v>
          </cell>
          <cell r="M85"/>
          <cell r="N85">
            <v>106399.05287732223</v>
          </cell>
          <cell r="O85">
            <v>25690.354999999938</v>
          </cell>
          <cell r="P85">
            <v>132089.40787732217</v>
          </cell>
          <cell r="Q85">
            <v>22640.304647223689</v>
          </cell>
          <cell r="R85">
            <v>22306.738125000003</v>
          </cell>
          <cell r="S85">
            <v>16788.441249999989</v>
          </cell>
          <cell r="T85" t="str">
            <v>School Size 5 Transition Point</v>
          </cell>
          <cell r="U85">
            <v>101418.20351197985</v>
          </cell>
          <cell r="V85">
            <v>118206.64476197984</v>
          </cell>
        </row>
        <row r="86">
          <cell r="A86">
            <v>9257015</v>
          </cell>
          <cell r="B86" t="str">
            <v>Lincoln St Christopher's</v>
          </cell>
          <cell r="C86">
            <v>157007.50638731191</v>
          </cell>
          <cell r="D86">
            <v>140415.42263303587</v>
          </cell>
          <cell r="K86">
            <v>140415.42263303587</v>
          </cell>
          <cell r="L86">
            <v>-16592.083754276042</v>
          </cell>
          <cell r="M86"/>
          <cell r="N86">
            <v>147311.50286801482</v>
          </cell>
          <cell r="O86">
            <v>32783.428749999992</v>
          </cell>
          <cell r="P86">
            <v>180094.93161801482</v>
          </cell>
          <cell r="Q86">
            <v>23087.425230702909</v>
          </cell>
          <cell r="R86">
            <v>22306.738125000003</v>
          </cell>
          <cell r="S86">
            <v>19674.728749999995</v>
          </cell>
          <cell r="T86" t="str">
            <v>School Size 6 Transition Point</v>
          </cell>
          <cell r="U86">
            <v>140415.42263303587</v>
          </cell>
          <cell r="V86">
            <v>160090.15138303587</v>
          </cell>
        </row>
        <row r="87">
          <cell r="A87">
            <v>9257016</v>
          </cell>
          <cell r="B87" t="str">
            <v xml:space="preserve">Lincoln St Francis </v>
          </cell>
          <cell r="C87">
            <v>90411.817119857238</v>
          </cell>
          <cell r="D87">
            <v>82953.039009475891</v>
          </cell>
          <cell r="K87">
            <v>82953.039009475891</v>
          </cell>
          <cell r="L87">
            <v>-7458.7781103813468</v>
          </cell>
          <cell r="M87"/>
          <cell r="N87">
            <v>87027.027478959702</v>
          </cell>
          <cell r="O87">
            <v>32783.428749999992</v>
          </cell>
          <cell r="P87">
            <v>119810.45622895969</v>
          </cell>
          <cell r="Q87">
            <v>29398.639109102456</v>
          </cell>
          <cell r="R87">
            <v>22306.738125000003</v>
          </cell>
          <cell r="S87">
            <v>19674.728749999995</v>
          </cell>
          <cell r="T87" t="str">
            <v>School Size 6 Transition Point</v>
          </cell>
          <cell r="U87">
            <v>82953.039009475891</v>
          </cell>
          <cell r="V87">
            <v>102627.76775947589</v>
          </cell>
        </row>
        <row r="88">
          <cell r="C88">
            <v>1269805.554355996</v>
          </cell>
          <cell r="D88">
            <v>1178983.9160301562</v>
          </cell>
          <cell r="N88">
            <v>1236886.1573098886</v>
          </cell>
          <cell r="S88"/>
        </row>
        <row r="89">
          <cell r="C89"/>
          <cell r="D89"/>
          <cell r="Q89" t="str">
            <v>Cost</v>
          </cell>
          <cell r="R89">
            <v>246476.39812500004</v>
          </cell>
          <cell r="S89">
            <v>234217.23874999996</v>
          </cell>
        </row>
        <row r="90">
          <cell r="B90" t="str">
            <v>Staffing Block Funding still to be allocated</v>
          </cell>
          <cell r="C90"/>
          <cell r="D90"/>
          <cell r="R90" t="str">
            <v>Over-allocated</v>
          </cell>
          <cell r="S90">
            <v>-12681.154780156154</v>
          </cell>
        </row>
      </sheetData>
      <sheetData sheetId="72"/>
      <sheetData sheetId="73"/>
      <sheetData sheetId="74"/>
      <sheetData sheetId="7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2021 Band Calculations (MFG)"/>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2223 Budget Requirement"/>
      <sheetName val="2324 Budget Requirement"/>
      <sheetName val="2223 Funding Detail"/>
      <sheetName val="DfE MFG"/>
      <sheetName val="2324 Funding Detail"/>
      <sheetName val="2324 MFG Protection"/>
      <sheetName val="2223 MFG Protection"/>
      <sheetName val="2122 MFG Protection"/>
      <sheetName val="MFG"/>
      <sheetName val="2021 FSM Calculation"/>
      <sheetName val="2021 Other Funding"/>
      <sheetName val="2021 Band Moderations"/>
      <sheetName val="MFG Tab"/>
      <sheetName val="2122 Budget Requirement"/>
      <sheetName val="2122 Funding Detail"/>
      <sheetName val="School Size Ranges (2223)"/>
      <sheetName val="School Size Ranges (2324)"/>
      <sheetName val="2122 Band Calculations"/>
      <sheetName val="2021 Band Calculations"/>
      <sheetName val="2021 Funding Detail"/>
      <sheetName val="202021 MFG Protection"/>
      <sheetName val="2122 Group Sizes"/>
      <sheetName val="2223 Group Sizes"/>
      <sheetName val="2122 FSM Calculation"/>
      <sheetName val="2324 FSM Calculation"/>
      <sheetName val="2223 FSM Calculation"/>
      <sheetName val="2122 Other Funding"/>
      <sheetName val="Other Funding"/>
      <sheetName val="2122 Band Values"/>
      <sheetName val="2223 Band Values"/>
      <sheetName val="2324 Band Values"/>
      <sheetName val="2122 Teachers Pay Scales"/>
      <sheetName val="2223 Teachers Pay Scales"/>
      <sheetName val="2324 Teacher's Pay Scales"/>
      <sheetName val="2122 TA Pay Scales"/>
      <sheetName val="2223 TA Pay Scales"/>
      <sheetName val="2324 TA Pay Scales"/>
      <sheetName val="2122 GLEA Pay Scales"/>
      <sheetName val="2122 Pay &amp; Pension Allocations"/>
      <sheetName val="Pay &amp; Pension Workings"/>
      <sheetName val="TA Workings"/>
      <sheetName val="2122 Band Moderations"/>
      <sheetName val="2223 Band Calculations"/>
      <sheetName val="2324 Band Calculations"/>
      <sheetName val="2223 Band Moderations"/>
      <sheetName val="2122 OLEA Placements"/>
      <sheetName val="2324 Band Moderations"/>
      <sheetName val="OLEA Plac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26">
          <cell r="R126">
            <v>1246528.7130525063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ow r="18">
          <cell r="B18" t="str">
            <v>Bourne Willoughby</v>
          </cell>
        </row>
      </sheetData>
      <sheetData sheetId="64" refreshError="1"/>
      <sheetData sheetId="65"/>
      <sheetData sheetId="66" refreshError="1"/>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GSegFQaEeZ5ADnpO91NsNsGWbDqYJKkye5f_3aeloHHapOs_odQ6qR8ipZUbZD" itemId="01Z2BWXUIDJBLVFN7M7RCZONV3LNKLXWHT">
      <xxl21:absoluteUrl r:id="rId2"/>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2223 Budget Requirement"/>
      <sheetName val="2223 Funding Detail"/>
      <sheetName val="2223 MFG Protection"/>
      <sheetName val="2122 MFG Protection"/>
      <sheetName val="MFG"/>
      <sheetName val="2021 Band Calculations"/>
      <sheetName val="2021 FSM Calculation"/>
      <sheetName val="2021 Other Funding"/>
      <sheetName val="2021 Band Moderations"/>
      <sheetName val="MFG Tab"/>
      <sheetName val="2122 Budget Requirement"/>
      <sheetName val="2122 Funding Detail"/>
      <sheetName val="School Size Ranges"/>
      <sheetName val="2122 Band Calculations"/>
      <sheetName val="2021 Funding Detail"/>
      <sheetName val="202021 MFG Protection"/>
      <sheetName val="2122 Group Sizes"/>
      <sheetName val="2223 Group Sizes"/>
      <sheetName val="2122 FSM Calculation"/>
      <sheetName val="2223 FSM Calculation"/>
      <sheetName val="2122 Other Funding"/>
      <sheetName val="2223 Other Funding"/>
      <sheetName val="2122 Band Values"/>
      <sheetName val="2223 Band Values"/>
      <sheetName val="2122 Teachers Pay Scales"/>
      <sheetName val="2223 Teachers Pay Scales"/>
      <sheetName val="2122 TA Pay Scales"/>
      <sheetName val="2223 TA Pay Scales"/>
      <sheetName val="2122 GLEA Pay Scales"/>
      <sheetName val="2122 Pay &amp; Pension Allocations"/>
      <sheetName val="Pay &amp; Pension Workings"/>
      <sheetName val="TA Workings"/>
      <sheetName val="2122 Band Moderations"/>
      <sheetName val="2223 Band Calculations"/>
      <sheetName val="2223 Band Moderations"/>
      <sheetName val="2122 OLEA Placements"/>
      <sheetName val="2223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5">
          <cell r="BL5">
            <v>3.0676153688162025E-2</v>
          </cell>
        </row>
        <row r="8">
          <cell r="BL8">
            <v>2.6360805877731167E-2</v>
          </cell>
        </row>
        <row r="11">
          <cell r="BL11">
            <v>2.6131128871127795E-2</v>
          </cell>
        </row>
        <row r="14">
          <cell r="BL14">
            <v>3.0676153688162025E-2</v>
          </cell>
        </row>
        <row r="22">
          <cell r="BL22">
            <v>2.9334821969648105E-2</v>
          </cell>
        </row>
        <row r="24">
          <cell r="BL24">
            <v>3.6347569411603046E-2</v>
          </cell>
        </row>
        <row r="30">
          <cell r="BL30">
            <v>2.6594926315760596E-2</v>
          </cell>
        </row>
      </sheetData>
      <sheetData sheetId="72"/>
      <sheetData sheetId="73"/>
      <sheetData sheetId="74"/>
      <sheetData sheetId="75"/>
      <sheetData sheetId="76"/>
      <sheetData sheetId="77"/>
      <sheetData sheetId="78">
        <row r="92">
          <cell r="P92">
            <v>8.4827726326253489E-2</v>
          </cell>
        </row>
        <row r="94">
          <cell r="P94">
            <v>8.5573311346926056E-2</v>
          </cell>
        </row>
        <row r="96">
          <cell r="P96">
            <v>5.1883674062824015E-2</v>
          </cell>
        </row>
        <row r="98">
          <cell r="P98">
            <v>5.216164732940607E-2</v>
          </cell>
        </row>
        <row r="100">
          <cell r="P100">
            <v>5.216164732940607E-2</v>
          </cell>
        </row>
        <row r="102">
          <cell r="P102">
            <v>6.5468753775186753E-2</v>
          </cell>
        </row>
        <row r="104">
          <cell r="P104"/>
        </row>
      </sheetData>
      <sheetData sheetId="79">
        <row r="92">
          <cell r="M92">
            <v>1.0226871923558922E-2</v>
          </cell>
        </row>
        <row r="94">
          <cell r="M94">
            <v>1.0316760016105668E-2</v>
          </cell>
        </row>
        <row r="96">
          <cell r="M96">
            <v>1.8765362902340054E-2</v>
          </cell>
        </row>
        <row r="98">
          <cell r="M98">
            <v>1.8865900678794404E-2</v>
          </cell>
        </row>
        <row r="100">
          <cell r="M100">
            <v>1.8865900678794404E-2</v>
          </cell>
        </row>
        <row r="102">
          <cell r="M102">
            <v>1.5785889563484205E-2</v>
          </cell>
        </row>
        <row r="104">
          <cell r="M104">
            <v>1.6143641675148718E-2</v>
          </cell>
        </row>
      </sheetData>
      <sheetData sheetId="80"/>
      <sheetData sheetId="81"/>
      <sheetData sheetId="82"/>
      <sheetData sheetId="83"/>
      <sheetData sheetId="8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Sheet - Please Read First"/>
      <sheetName val="ISB Weightings"/>
      <sheetName val="Budget Shares"/>
      <sheetName val="Funding Summary"/>
      <sheetName val="Local Protection"/>
      <sheetName val="MFG DfE Protection"/>
      <sheetName val="2324 Budget Requirement"/>
      <sheetName val="2425 3.4% Allocations"/>
      <sheetName val="2425 Budget Requirement"/>
      <sheetName val="2223 Funding Detail"/>
      <sheetName val="2324 Funding Detail"/>
      <sheetName val="2223 MFG Protection"/>
      <sheetName val="2425 Funding Detail"/>
      <sheetName val="2425 School Size Ranges"/>
      <sheetName val="2425 Band Values"/>
      <sheetName val="2425 Band Calculations"/>
      <sheetName val="2324 MFG Protection"/>
      <sheetName val="2425 MFG Protection"/>
      <sheetName val="2324 3.4% Allocations"/>
      <sheetName val="School Size Ranges (2223)"/>
      <sheetName val="2324 School Size Ranges"/>
      <sheetName val="2223 Group Sizes"/>
      <sheetName val="2324 FSM Calculation"/>
      <sheetName val="2425 FSM Calculation"/>
      <sheetName val="2223 FSM Calculation"/>
      <sheetName val="2324 Other Funding"/>
      <sheetName val="2425 Other Funding"/>
      <sheetName val="2223 Band Values"/>
      <sheetName val="2324 Band Values"/>
      <sheetName val="2223 Teachers Pay Scales"/>
      <sheetName val="2425 GLEA Pay Scale"/>
      <sheetName val="2324 Teacher's Pay Scales"/>
      <sheetName val="2425 Teacher's Pay Scales"/>
      <sheetName val="2223 TA Pay Scales"/>
      <sheetName val="2324 TA Pay Scales"/>
      <sheetName val="2425 TA Pay Scales"/>
      <sheetName val="2223 Band Calculations"/>
      <sheetName val="2324 Band Calculations"/>
      <sheetName val="2223 Band Moderations"/>
      <sheetName val="2324 Band Moderations"/>
      <sheetName val="2425 Band Moderations"/>
      <sheetName val="2324 OLEA Placements"/>
      <sheetName val="2425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C4" t="str">
            <v>School Size 6</v>
          </cell>
        </row>
        <row r="5">
          <cell r="C5" t="str">
            <v>School Size 4 Transition Point</v>
          </cell>
        </row>
        <row r="6">
          <cell r="C6" t="str">
            <v>School Size 4 Transition Point</v>
          </cell>
        </row>
        <row r="7">
          <cell r="C7" t="str">
            <v>School Size 4</v>
          </cell>
        </row>
        <row r="8">
          <cell r="C8" t="str">
            <v>School Size 5</v>
          </cell>
        </row>
        <row r="9">
          <cell r="C9" t="str">
            <v>School Size 4 Transition Point</v>
          </cell>
        </row>
        <row r="10">
          <cell r="C10" t="str">
            <v>School Size 4</v>
          </cell>
        </row>
        <row r="11">
          <cell r="C11" t="str">
            <v>School Size 5</v>
          </cell>
        </row>
        <row r="12">
          <cell r="C12" t="str">
            <v>School Size 5 Transition Point</v>
          </cell>
        </row>
        <row r="13">
          <cell r="C13" t="str">
            <v>School Size 6 Transition Point</v>
          </cell>
        </row>
        <row r="14">
          <cell r="C14" t="str">
            <v>School Size 5</v>
          </cell>
        </row>
        <row r="15">
          <cell r="C15" t="str">
            <v>School Size 4 Transition Point</v>
          </cell>
        </row>
        <row r="16">
          <cell r="C16" t="str">
            <v>School Size 4 Transition Point</v>
          </cell>
        </row>
        <row r="17">
          <cell r="C17" t="str">
            <v>School Size 6</v>
          </cell>
        </row>
        <row r="18">
          <cell r="C18" t="str">
            <v>School Size 5 Transition Point</v>
          </cell>
        </row>
        <row r="19">
          <cell r="C19" t="str">
            <v>School Size 7 Transition Point</v>
          </cell>
        </row>
        <row r="20">
          <cell r="C20" t="str">
            <v>School Size 6 Transition Point</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ASSISTANT 202021"/>
      <sheetName val="Sheet2"/>
    </sheetNames>
    <sheetDataSet>
      <sheetData sheetId="0" refreshError="1"/>
      <sheetData sheetId="1" refreshError="1">
        <row r="21">
          <cell r="E21">
            <v>18430.267500000002</v>
          </cell>
        </row>
        <row r="22">
          <cell r="E22">
            <v>18561.787500000002</v>
          </cell>
        </row>
        <row r="23">
          <cell r="E23">
            <v>18925.522500000003</v>
          </cell>
        </row>
        <row r="24">
          <cell r="E24">
            <v>19333.440000000002</v>
          </cell>
        </row>
        <row r="27">
          <cell r="E27">
            <v>20412.315000000002</v>
          </cell>
        </row>
        <row r="28">
          <cell r="E28">
            <v>20903.460000000003</v>
          </cell>
        </row>
        <row r="29">
          <cell r="E29">
            <v>21730.597500000003</v>
          </cell>
        </row>
        <row r="30">
          <cell r="E30">
            <v>22637.88</v>
          </cell>
        </row>
        <row r="31">
          <cell r="E31">
            <v>23541.052500000002</v>
          </cell>
        </row>
        <row r="32">
          <cell r="E32">
            <v>24333.255000000001</v>
          </cell>
        </row>
        <row r="33">
          <cell r="E33">
            <v>25123.4025</v>
          </cell>
        </row>
        <row r="34">
          <cell r="E34">
            <v>25990.612500000003</v>
          </cell>
        </row>
        <row r="35">
          <cell r="E35">
            <v>26784.870000000003</v>
          </cell>
        </row>
        <row r="36">
          <cell r="E36">
            <v>27729.142500000002</v>
          </cell>
        </row>
        <row r="37">
          <cell r="E37">
            <v>28672.387500000001</v>
          </cell>
        </row>
        <row r="38">
          <cell r="E38">
            <v>29919.772500000003</v>
          </cell>
        </row>
        <row r="39">
          <cell r="E39">
            <v>31053.105000000003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ASSISTANT 2022-23"/>
      <sheetName val="Sheet2"/>
    </sheetNames>
    <sheetDataSet>
      <sheetData sheetId="0"/>
      <sheetData sheetId="1">
        <row r="22">
          <cell r="E22">
            <v>20812</v>
          </cell>
        </row>
        <row r="23">
          <cell r="E23">
            <v>21182</v>
          </cell>
        </row>
        <row r="24">
          <cell r="E24">
            <v>21596</v>
          </cell>
        </row>
        <row r="25">
          <cell r="E25">
            <v>21968</v>
          </cell>
        </row>
        <row r="28">
          <cell r="E28">
            <v>23194</v>
          </cell>
        </row>
        <row r="29">
          <cell r="E29">
            <v>24036</v>
          </cell>
        </row>
        <row r="30">
          <cell r="E30">
            <v>24959</v>
          </cell>
        </row>
        <row r="31">
          <cell r="E31">
            <v>25878</v>
          </cell>
        </row>
        <row r="32">
          <cell r="E32">
            <v>26684</v>
          </cell>
        </row>
        <row r="33">
          <cell r="E33">
            <v>27488</v>
          </cell>
        </row>
        <row r="34">
          <cell r="E34">
            <v>28371</v>
          </cell>
        </row>
        <row r="35">
          <cell r="E35">
            <v>29179</v>
          </cell>
        </row>
        <row r="36">
          <cell r="E36">
            <v>30139</v>
          </cell>
        </row>
        <row r="37">
          <cell r="E37">
            <v>31099</v>
          </cell>
        </row>
        <row r="38">
          <cell r="E38">
            <v>32369</v>
          </cell>
        </row>
        <row r="39">
          <cell r="E39">
            <v>33521</v>
          </cell>
        </row>
        <row r="40">
          <cell r="E40">
            <v>34723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ACHING ASSISTANT 2023-24"/>
      <sheetName val="Sheet2"/>
    </sheetNames>
    <sheetDataSet>
      <sheetData sheetId="0"/>
      <sheetData sheetId="1">
        <row r="22">
          <cell r="E22">
            <v>22737</v>
          </cell>
        </row>
        <row r="23">
          <cell r="E23">
            <v>23107</v>
          </cell>
        </row>
        <row r="24">
          <cell r="E24">
            <v>23521</v>
          </cell>
        </row>
        <row r="25">
          <cell r="E25">
            <v>23893</v>
          </cell>
        </row>
        <row r="28">
          <cell r="E28">
            <v>25119</v>
          </cell>
        </row>
        <row r="29">
          <cell r="E29">
            <v>25961</v>
          </cell>
        </row>
        <row r="30">
          <cell r="E30">
            <v>26884</v>
          </cell>
        </row>
        <row r="31">
          <cell r="E31">
            <v>27803</v>
          </cell>
        </row>
        <row r="32">
          <cell r="E32">
            <v>28609</v>
          </cell>
        </row>
        <row r="33">
          <cell r="E33">
            <v>29413</v>
          </cell>
        </row>
        <row r="34">
          <cell r="E34">
            <v>30296</v>
          </cell>
        </row>
        <row r="35">
          <cell r="E35">
            <v>31104</v>
          </cell>
        </row>
        <row r="36">
          <cell r="E36">
            <v>32064</v>
          </cell>
        </row>
        <row r="37">
          <cell r="E37">
            <v>33024</v>
          </cell>
        </row>
        <row r="38">
          <cell r="E38">
            <v>34294</v>
          </cell>
        </row>
        <row r="39">
          <cell r="E39">
            <v>35446</v>
          </cell>
        </row>
        <row r="40">
          <cell r="E40">
            <v>36648</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_Ge_M2v8WE-FLT4waiIJ8v3vyY3kdpROubYoNsS7YN6C1OxHo8sVSoo2DQZt0ykd" itemId="017CWL5FYHOFYHATEK2VBLVGBKEDITFZGU">
      <xxl21:absoluteUrl r:id="rId2"/>
    </xxl21:alternateUrls>
    <sheetNames>
      <sheetName val="1920"/>
      <sheetName val="2021"/>
      <sheetName val="2122"/>
      <sheetName val="2223"/>
      <sheetName val="2324"/>
      <sheetName val="2425"/>
      <sheetName val="2526"/>
    </sheetNames>
    <sheetDataSet>
      <sheetData sheetId="0"/>
      <sheetData sheetId="1"/>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20"/>
      <sheetName val="2021"/>
      <sheetName val="2122"/>
      <sheetName val="222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person displayName="David Leonard" id="{4B2828DB-3693-4C28-ABA5-4CF8442C7AE7}" userId="S::David.Leonard@lincolnshire.gov.uk::a21b0ccd-3aee-4046-bc74-d38e7a34107c" providerId="AD"/>
  <person displayName="Mark Popplewell" id="{C77FBB69-1910-469C-975E-1BD29403CD47}" userId="S::Mark.Popplewell@lincolnshire.gov.uk::51bd506b-557c-40c9-8763-8db91163076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3-02-06T16:15:52.50" personId="{4B2828DB-3693-4C28-ABA5-4CF8442C7AE7}" id="{4B984CED-B401-4BEF-BA38-9980CD5445AB}">
    <text>Requirement revised following Tulip Merger</text>
  </threadedComment>
  <threadedComment ref="J2" dT="2023-02-06T16:15:26.84" personId="{4B2828DB-3693-4C28-ABA5-4CF8442C7AE7}" id="{263BDAAF-70B3-492E-91C7-391071FED383}">
    <text xml:space="preserve">Requirement calculating Garth and Priory separately </text>
  </threadedComment>
</ThreadedComments>
</file>

<file path=xl/threadedComments/threadedComment2.xml><?xml version="1.0" encoding="utf-8"?>
<ThreadedComments xmlns="http://schemas.microsoft.com/office/spreadsheetml/2018/threadedcomments" xmlns:x="http://schemas.openxmlformats.org/spreadsheetml/2006/main">
  <threadedComment ref="C15" dT="2022-02-23T00:19:24.67" personId="{C77FBB69-1910-469C-975E-1BD29403CD47}" id="{B1B62A1F-DE56-42DE-9019-E5CA7CE509BC}">
    <text>Main School site capacity 72 places. The remainder of places up to a further 32 places has fixed costs supported through the split site factor</text>
  </threadedComment>
</ThreadedComments>
</file>

<file path=xl/threadedComments/threadedComment3.xml><?xml version="1.0" encoding="utf-8"?>
<ThreadedComments xmlns="http://schemas.microsoft.com/office/spreadsheetml/2018/threadedcomments" xmlns:x="http://schemas.openxmlformats.org/spreadsheetml/2006/main">
  <threadedComment ref="C15" dT="2022-02-23T00:19:24.67" personId="{C77FBB69-1910-469C-975E-1BD29403CD47}" id="{C0FB4C9A-ACBD-4BE2-BAB2-739EAFBE607A}">
    <text>Main School site capacity 72 places. The remainder of places up to a further 32 places has fixed costs supported through the split site factor</text>
  </threadedComment>
  <threadedComment ref="C38" dT="2022-02-23T00:19:24.67" personId="{C77FBB69-1910-469C-975E-1BD29403CD47}" id="{BCE8B829-AF73-4805-B06F-0E7938ACA287}">
    <text>Main School site capacity 72 places. The remainder of places up to a further 32 places has fixed costs supported through the split site factor</text>
  </threadedComment>
</ThreadedComments>
</file>

<file path=xl/threadedComments/threadedComment4.xml><?xml version="1.0" encoding="utf-8"?>
<ThreadedComments xmlns="http://schemas.microsoft.com/office/spreadsheetml/2018/threadedcomments" xmlns:x="http://schemas.openxmlformats.org/spreadsheetml/2006/main">
  <threadedComment ref="G13" dT="2024-02-15T17:09:51.77" personId="{4B2828DB-3693-4C28-ABA5-4CF8442C7AE7}" id="{D0CD679D-113E-49C9-B7DC-35246881E18A}">
    <text>Previously £352,404</text>
  </threadedComment>
  <threadedComment ref="C15" dT="2022-02-23T00:19:24.67" personId="{C77FBB69-1910-469C-975E-1BD29403CD47}" id="{84105E1C-4F97-4A1C-B832-94893F95739D}">
    <text>Main School site capacity 72 places. The remainder of places up to a further 32 places has fixed costs supported through the split site factor</text>
  </threadedComment>
  <threadedComment ref="G15" dT="2024-02-16T15:11:59.18" personId="{4B2828DB-3693-4C28-ABA5-4CF8442C7AE7}" id="{B4B9BE31-596C-4412-A9AF-AC0C385A3B12}">
    <text>Previously £179,941</text>
  </threadedComment>
  <threadedComment ref="G19" dT="2024-02-16T15:02:52.92" personId="{4B2828DB-3693-4C28-ABA5-4CF8442C7AE7}" id="{C8BEF2F1-7B44-4E2A-8962-4AFD9D5F3EDE}">
    <text>Previously £551,998</text>
  </threadedComment>
  <threadedComment ref="C38" dT="2022-02-23T00:19:24.67" personId="{C77FBB69-1910-469C-975E-1BD29403CD47}" id="{9EBC5550-0762-473E-8CC7-5607F16FF091}">
    <text>Main School site capacity 72 places. The remainder of places up to a further 32 places has fixed costs supported through the split site factor</text>
  </threadedComment>
</ThreadedComments>
</file>

<file path=xl/threadedComments/threadedComment5.xml><?xml version="1.0" encoding="utf-8"?>
<ThreadedComments xmlns="http://schemas.microsoft.com/office/spreadsheetml/2018/threadedcomments" xmlns:x="http://schemas.openxmlformats.org/spreadsheetml/2006/main">
  <threadedComment ref="F12" dT="2023-02-10T13:27:09.50" personId="{4B2828DB-3693-4C28-ABA5-4CF8442C7AE7}" id="{12631C88-8098-4B7E-A5A8-016B52FD3CCD}">
    <text>Should this be £811,482?</text>
  </threadedComment>
</ThreadedComments>
</file>

<file path=xl/threadedComments/threadedComment6.xml><?xml version="1.0" encoding="utf-8"?>
<ThreadedComments xmlns="http://schemas.microsoft.com/office/spreadsheetml/2018/threadedcomments" xmlns:x="http://schemas.openxmlformats.org/spreadsheetml/2006/main">
  <threadedComment ref="F12" dT="2023-02-10T13:27:09.50" personId="{4B2828DB-3693-4C28-ABA5-4CF8442C7AE7}" id="{B9924BA0-45C7-4FAA-8ED9-519D06981E1C}">
    <text>Should this be £811,482?</text>
  </threadedComment>
</ThreadedComments>
</file>

<file path=xl/threadedComments/threadedComment7.xml><?xml version="1.0" encoding="utf-8"?>
<ThreadedComments xmlns="http://schemas.microsoft.com/office/spreadsheetml/2018/threadedcomments" xmlns:x="http://schemas.openxmlformats.org/spreadsheetml/2006/main">
  <threadedComment ref="D4" dT="2023-12-11T09:50:01.29" personId="{4B2828DB-3693-4C28-ABA5-4CF8442C7AE7}" id="{8B335A4D-E007-4C4E-8621-2A4456A67CE1}">
    <text>Information supplied by Sara Gregory</text>
  </threadedComment>
  <threadedComment ref="E4" dT="2023-12-11T09:52:58.61" personId="{4B2828DB-3693-4C28-ABA5-4CF8442C7AE7}" id="{E0702F4A-E67C-4D41-8554-DBB12E189389}">
    <text>Information supplied by Sara Gregory</text>
  </threadedComment>
  <threadedComment ref="F9" dT="2024-01-26T11:54:17.85" personId="{4B2828DB-3693-4C28-ABA5-4CF8442C7AE7}" id="{8A58A79B-D858-4B0A-A552-F65B035BD46D}">
    <text>To be funded from Non-DSB</text>
  </threadedComment>
  <threadedComment ref="E13" dT="2024-01-26T11:59:22.80" personId="{4B2828DB-3693-4C28-ABA5-4CF8442C7AE7}" id="{93273ED2-19B8-4B7F-A90C-F9B1F28D2271}">
    <text>Current agreement runs until Aug 25 with option to extend to Aug 27</text>
  </threadedComment>
  <threadedComment ref="E23" dT="2024-01-26T12:00:11.90" personId="{4B2828DB-3693-4C28-ABA5-4CF8442C7AE7}" id="{29CC0BE0-28D3-4056-8156-21BBCDEB9FC5}">
    <text>Current agreement runs until Aug 25 with possibility to extend until Aug 27</text>
  </threadedComment>
</ThreadedComments>
</file>

<file path=xl/threadedComments/threadedComment8.xml><?xml version="1.0" encoding="utf-8"?>
<ThreadedComments xmlns="http://schemas.microsoft.com/office/spreadsheetml/2018/threadedcomments" xmlns:x="http://schemas.openxmlformats.org/spreadsheetml/2006/main">
  <threadedComment ref="W11" dT="2024-01-05T14:43:19.04" personId="{4B2828DB-3693-4C28-ABA5-4CF8442C7AE7}" id="{7E0975DF-0275-4A7F-8235-8DAFADCCCD8D}">
    <text>Altered from 0.1505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3.x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4.xml"/><Relationship Id="rId4" Type="http://schemas.microsoft.com/office/2017/10/relationships/threadedComment" Target="../threadedComments/threadedComment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4.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tabColor rgb="FFFF0000"/>
    <pageSetUpPr fitToPage="1"/>
  </sheetPr>
  <dimension ref="A1:C39"/>
  <sheetViews>
    <sheetView tabSelected="1" zoomScale="85" zoomScaleNormal="85" zoomScalePageLayoutView="85" workbookViewId="0">
      <selection activeCell="A2" sqref="A2"/>
    </sheetView>
  </sheetViews>
  <sheetFormatPr defaultColWidth="8.7265625" defaultRowHeight="15.5" x14ac:dyDescent="0.35"/>
  <cols>
    <col min="1" max="1" width="138.1796875" style="395" customWidth="1"/>
    <col min="2" max="16384" width="8.7265625" style="395"/>
  </cols>
  <sheetData>
    <row r="1" spans="1:3" x14ac:dyDescent="0.35">
      <c r="A1" s="393"/>
      <c r="B1" s="394"/>
    </row>
    <row r="2" spans="1:3" x14ac:dyDescent="0.35">
      <c r="A2" s="396" t="s">
        <v>176</v>
      </c>
      <c r="B2" s="397"/>
    </row>
    <row r="3" spans="1:3" x14ac:dyDescent="0.35">
      <c r="A3" s="398"/>
      <c r="B3" s="397"/>
    </row>
    <row r="4" spans="1:3" x14ac:dyDescent="0.35">
      <c r="A4" s="399" t="s">
        <v>177</v>
      </c>
      <c r="B4" s="397"/>
    </row>
    <row r="5" spans="1:3" x14ac:dyDescent="0.35">
      <c r="A5" s="398" t="s">
        <v>914</v>
      </c>
      <c r="B5" s="397"/>
    </row>
    <row r="6" spans="1:3" x14ac:dyDescent="0.35">
      <c r="A6" s="398" t="s">
        <v>178</v>
      </c>
      <c r="B6" s="397"/>
    </row>
    <row r="7" spans="1:3" x14ac:dyDescent="0.35">
      <c r="A7" s="398" t="s">
        <v>179</v>
      </c>
      <c r="B7" s="397"/>
    </row>
    <row r="8" spans="1:3" x14ac:dyDescent="0.35">
      <c r="A8" s="398" t="s">
        <v>180</v>
      </c>
      <c r="B8" s="397"/>
      <c r="C8" s="400"/>
    </row>
    <row r="9" spans="1:3" x14ac:dyDescent="0.35">
      <c r="A9" s="398" t="s">
        <v>181</v>
      </c>
      <c r="B9" s="397"/>
      <c r="C9" s="400"/>
    </row>
    <row r="10" spans="1:3" x14ac:dyDescent="0.35">
      <c r="A10" s="398" t="s">
        <v>182</v>
      </c>
      <c r="B10" s="397"/>
    </row>
    <row r="11" spans="1:3" x14ac:dyDescent="0.35">
      <c r="A11" s="398" t="s">
        <v>183</v>
      </c>
      <c r="B11" s="397"/>
    </row>
    <row r="12" spans="1:3" x14ac:dyDescent="0.35">
      <c r="A12" s="398" t="s">
        <v>1153</v>
      </c>
      <c r="B12" s="397"/>
    </row>
    <row r="13" spans="1:3" x14ac:dyDescent="0.35">
      <c r="A13" s="398"/>
      <c r="B13" s="397"/>
    </row>
    <row r="14" spans="1:3" x14ac:dyDescent="0.35">
      <c r="A14" s="399" t="s">
        <v>184</v>
      </c>
      <c r="B14" s="397"/>
    </row>
    <row r="15" spans="1:3" x14ac:dyDescent="0.35">
      <c r="A15" s="401" t="s">
        <v>185</v>
      </c>
      <c r="B15" s="397"/>
    </row>
    <row r="16" spans="1:3" x14ac:dyDescent="0.35">
      <c r="A16" s="398" t="s">
        <v>186</v>
      </c>
      <c r="B16" s="397"/>
    </row>
    <row r="17" spans="1:2" x14ac:dyDescent="0.35">
      <c r="A17" s="398" t="s">
        <v>187</v>
      </c>
      <c r="B17" s="397"/>
    </row>
    <row r="18" spans="1:2" x14ac:dyDescent="0.35">
      <c r="A18" s="398" t="s">
        <v>188</v>
      </c>
      <c r="B18" s="397"/>
    </row>
    <row r="19" spans="1:2" x14ac:dyDescent="0.35">
      <c r="A19" s="398" t="s">
        <v>915</v>
      </c>
      <c r="B19" s="397"/>
    </row>
    <row r="20" spans="1:2" x14ac:dyDescent="0.35">
      <c r="A20" s="398" t="s">
        <v>189</v>
      </c>
      <c r="B20" s="397"/>
    </row>
    <row r="21" spans="1:2" x14ac:dyDescent="0.35">
      <c r="A21" s="398" t="s">
        <v>916</v>
      </c>
      <c r="B21" s="397"/>
    </row>
    <row r="22" spans="1:2" x14ac:dyDescent="0.35">
      <c r="A22" s="398" t="s">
        <v>190</v>
      </c>
      <c r="B22" s="397"/>
    </row>
    <row r="23" spans="1:2" x14ac:dyDescent="0.35">
      <c r="A23" s="398" t="s">
        <v>1179</v>
      </c>
      <c r="B23" s="397"/>
    </row>
    <row r="24" spans="1:2" x14ac:dyDescent="0.35">
      <c r="A24" s="398" t="s">
        <v>191</v>
      </c>
      <c r="B24" s="397"/>
    </row>
    <row r="25" spans="1:2" x14ac:dyDescent="0.35">
      <c r="A25" s="398"/>
      <c r="B25" s="397"/>
    </row>
    <row r="26" spans="1:2" x14ac:dyDescent="0.35">
      <c r="A26" s="399" t="s">
        <v>192</v>
      </c>
      <c r="B26" s="397"/>
    </row>
    <row r="27" spans="1:2" x14ac:dyDescent="0.35">
      <c r="A27" s="401" t="s">
        <v>193</v>
      </c>
      <c r="B27" s="397"/>
    </row>
    <row r="28" spans="1:2" x14ac:dyDescent="0.35">
      <c r="A28" s="398" t="s">
        <v>917</v>
      </c>
      <c r="B28" s="397"/>
    </row>
    <row r="29" spans="1:2" ht="31" x14ac:dyDescent="0.35">
      <c r="A29" s="402" t="s">
        <v>1178</v>
      </c>
      <c r="B29" s="397"/>
    </row>
    <row r="30" spans="1:2" x14ac:dyDescent="0.35">
      <c r="A30" s="402" t="s">
        <v>194</v>
      </c>
      <c r="B30" s="397"/>
    </row>
    <row r="31" spans="1:2" x14ac:dyDescent="0.35">
      <c r="A31" s="398"/>
      <c r="B31" s="397"/>
    </row>
    <row r="32" spans="1:2" x14ac:dyDescent="0.35">
      <c r="A32" s="399" t="s">
        <v>195</v>
      </c>
      <c r="B32" s="397"/>
    </row>
    <row r="33" spans="1:2" x14ac:dyDescent="0.35">
      <c r="A33" s="401" t="s">
        <v>193</v>
      </c>
      <c r="B33" s="397"/>
    </row>
    <row r="34" spans="1:2" x14ac:dyDescent="0.35">
      <c r="A34" s="398" t="s">
        <v>918</v>
      </c>
      <c r="B34" s="397"/>
    </row>
    <row r="35" spans="1:2" x14ac:dyDescent="0.35">
      <c r="A35" s="401"/>
      <c r="B35" s="397"/>
    </row>
    <row r="36" spans="1:2" x14ac:dyDescent="0.35">
      <c r="A36" s="399" t="s">
        <v>196</v>
      </c>
      <c r="B36" s="397"/>
    </row>
    <row r="37" spans="1:2" x14ac:dyDescent="0.35">
      <c r="A37" s="401" t="s">
        <v>193</v>
      </c>
      <c r="B37" s="397"/>
    </row>
    <row r="38" spans="1:2" x14ac:dyDescent="0.35">
      <c r="A38" s="398" t="s">
        <v>1152</v>
      </c>
      <c r="B38" s="397"/>
    </row>
    <row r="39" spans="1:2" x14ac:dyDescent="0.35">
      <c r="A39" s="739"/>
      <c r="B39" s="403"/>
    </row>
  </sheetData>
  <sheetProtection algorithmName="SHA-512" hashValue="R+TKw6hurUdjJ70wOZIGpWjPX94ujHo+Tlm/El25zNMzRiaqCTeekqoW9bHOwOm1EfRzIqndm/1EZme6scR9rw==" saltValue="fUeewkMwLAzGUEoJs/1gkg==" spinCount="100000" sheet="1" objects="1" scenarios="1"/>
  <phoneticPr fontId="51" type="noConversion"/>
  <pageMargins left="0.70866141732283472" right="0.70866141732283472" top="0.74803149606299213" bottom="0.74803149606299213" header="0.31496062992125984" footer="0.31496062992125984"/>
  <pageSetup paperSize="9" scale="60" orientation="portrait" r:id="rId1"/>
  <headerFooter>
    <oddHeader xml:space="preserve">&amp;CLincolnshire County Council
</oddHeader>
    <oddFooter>&amp;C2024/25 Special School Budget Share Calculation
Front Sheet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AJ64"/>
  <sheetViews>
    <sheetView topLeftCell="N1" zoomScaleNormal="100" workbookViewId="0">
      <selection activeCell="Z4" sqref="Z4"/>
    </sheetView>
  </sheetViews>
  <sheetFormatPr defaultColWidth="10.26953125" defaultRowHeight="12.5" x14ac:dyDescent="0.25"/>
  <cols>
    <col min="1" max="1" width="10.26953125" style="10"/>
    <col min="2" max="2" width="31.54296875" style="10" customWidth="1"/>
    <col min="3" max="3" width="26.54296875" style="10" customWidth="1"/>
    <col min="4" max="7" width="15.7265625" style="11" customWidth="1"/>
    <col min="8" max="10" width="15.7265625" style="10" customWidth="1"/>
    <col min="11" max="11" width="15.7265625" style="11" customWidth="1"/>
    <col min="12" max="12" width="17.26953125" style="10" customWidth="1"/>
    <col min="13" max="13" width="10.26953125" style="11" customWidth="1"/>
    <col min="14" max="16" width="13.81640625" style="10" customWidth="1"/>
    <col min="17" max="17" width="10.26953125" style="10" customWidth="1"/>
    <col min="18" max="19" width="11.1796875" style="10" customWidth="1"/>
    <col min="20" max="20" width="10.26953125" style="10" customWidth="1"/>
    <col min="21" max="21" width="10.26953125" style="12" customWidth="1"/>
    <col min="22" max="24" width="11.81640625" style="11" customWidth="1"/>
    <col min="25" max="25" width="10.26953125" style="11" customWidth="1"/>
    <col min="26" max="26" width="11" style="10" customWidth="1"/>
    <col min="27" max="27" width="11.26953125" style="10" customWidth="1"/>
    <col min="28" max="28" width="9.81640625" style="11" bestFit="1" customWidth="1"/>
    <col min="29" max="29" width="10.26953125" style="10"/>
    <col min="30" max="32" width="14.453125" style="10" bestFit="1" customWidth="1"/>
    <col min="33" max="16384" width="10.26953125" style="10"/>
  </cols>
  <sheetData>
    <row r="1" spans="1:36" ht="17.5" x14ac:dyDescent="0.35">
      <c r="A1" s="15"/>
      <c r="B1" s="14" t="s">
        <v>319</v>
      </c>
      <c r="C1" s="15"/>
      <c r="D1" s="64"/>
      <c r="E1" s="64"/>
      <c r="F1" s="64"/>
      <c r="G1" s="64"/>
      <c r="H1" s="15"/>
      <c r="I1" s="15"/>
      <c r="J1" s="15"/>
      <c r="K1" s="64"/>
      <c r="L1" s="15"/>
      <c r="M1" s="64"/>
      <c r="N1" s="15"/>
      <c r="O1" s="15"/>
      <c r="P1" s="15"/>
      <c r="Q1" s="15"/>
      <c r="R1" s="15" t="s">
        <v>320</v>
      </c>
      <c r="S1" s="15"/>
      <c r="T1" s="15"/>
      <c r="U1" s="65"/>
      <c r="V1" s="64"/>
      <c r="W1" s="64"/>
      <c r="X1" s="64"/>
      <c r="Y1" s="64"/>
      <c r="Z1" s="15"/>
      <c r="AA1" s="15"/>
      <c r="AB1" s="64"/>
      <c r="AC1" s="15"/>
      <c r="AD1" s="15" t="s">
        <v>321</v>
      </c>
      <c r="AE1" s="15"/>
      <c r="AF1" s="15"/>
      <c r="AG1" s="15"/>
      <c r="AH1" s="15"/>
      <c r="AI1" s="15"/>
      <c r="AJ1" s="15"/>
    </row>
    <row r="2" spans="1:36" ht="12.75" customHeight="1" x14ac:dyDescent="0.25">
      <c r="A2" s="15"/>
      <c r="B2" s="15"/>
      <c r="C2" s="15"/>
      <c r="D2" s="64"/>
      <c r="E2" s="64"/>
      <c r="F2" s="64"/>
      <c r="G2" s="64"/>
      <c r="H2" s="15"/>
      <c r="I2" s="15"/>
      <c r="J2" s="15"/>
      <c r="K2" s="64"/>
      <c r="L2" s="15"/>
      <c r="M2" s="64"/>
      <c r="N2" s="15"/>
      <c r="O2" s="15"/>
      <c r="P2" s="15"/>
      <c r="Q2" s="15"/>
      <c r="R2" s="15"/>
      <c r="S2" s="15"/>
      <c r="T2" s="15"/>
      <c r="U2" s="65"/>
      <c r="V2" s="64"/>
      <c r="W2" s="64"/>
      <c r="X2" s="64"/>
      <c r="Y2" s="64"/>
      <c r="Z2" s="15"/>
      <c r="AA2" s="15"/>
      <c r="AB2" s="64"/>
      <c r="AC2" s="15"/>
      <c r="AD2" s="15"/>
      <c r="AE2" s="15"/>
      <c r="AF2" s="15"/>
      <c r="AG2" s="15"/>
      <c r="AH2" s="15"/>
      <c r="AI2" s="15"/>
      <c r="AJ2" s="15"/>
    </row>
    <row r="3" spans="1:36" ht="39" customHeight="1" x14ac:dyDescent="0.3">
      <c r="A3" s="66" t="s">
        <v>48</v>
      </c>
      <c r="B3" s="67" t="s">
        <v>49</v>
      </c>
      <c r="C3" s="71" t="s">
        <v>322</v>
      </c>
      <c r="D3" s="70" t="s">
        <v>13</v>
      </c>
      <c r="E3" s="70" t="s">
        <v>14</v>
      </c>
      <c r="F3" s="68" t="s">
        <v>43</v>
      </c>
      <c r="G3" s="68" t="s">
        <v>51</v>
      </c>
      <c r="H3" s="71" t="s">
        <v>52</v>
      </c>
      <c r="I3" s="71" t="s">
        <v>323</v>
      </c>
      <c r="J3" s="71" t="s">
        <v>53</v>
      </c>
      <c r="K3" s="68" t="s">
        <v>54</v>
      </c>
      <c r="L3" s="71" t="s">
        <v>55</v>
      </c>
      <c r="M3" s="71" t="s">
        <v>324</v>
      </c>
      <c r="N3" s="371" t="s">
        <v>235</v>
      </c>
      <c r="O3" s="372" t="s">
        <v>325</v>
      </c>
      <c r="P3" s="373" t="s">
        <v>277</v>
      </c>
      <c r="Q3" s="111" t="s">
        <v>217</v>
      </c>
      <c r="R3" s="111" t="s">
        <v>326</v>
      </c>
      <c r="S3" s="111" t="s">
        <v>218</v>
      </c>
      <c r="T3" s="111" t="s">
        <v>219</v>
      </c>
      <c r="U3" s="71" t="s">
        <v>56</v>
      </c>
      <c r="V3" s="72" t="s">
        <v>57</v>
      </c>
      <c r="W3" s="577" t="s">
        <v>327</v>
      </c>
      <c r="X3" s="577" t="s">
        <v>328</v>
      </c>
      <c r="Y3" s="578" t="s">
        <v>58</v>
      </c>
      <c r="Z3" s="578" t="s">
        <v>119</v>
      </c>
      <c r="AA3" s="72" t="s">
        <v>59</v>
      </c>
      <c r="AB3" s="71" t="s">
        <v>329</v>
      </c>
      <c r="AC3" s="15"/>
      <c r="AD3" s="73" t="s">
        <v>330</v>
      </c>
      <c r="AE3" s="73" t="s">
        <v>331</v>
      </c>
      <c r="AF3" s="90" t="s">
        <v>332</v>
      </c>
      <c r="AG3" s="15"/>
      <c r="AH3" s="73"/>
      <c r="AI3" s="15"/>
      <c r="AJ3" s="15"/>
    </row>
    <row r="4" spans="1:36" x14ac:dyDescent="0.25">
      <c r="A4" s="74">
        <v>9257010</v>
      </c>
      <c r="B4" s="67" t="s">
        <v>333</v>
      </c>
      <c r="C4" s="536" t="s">
        <v>248</v>
      </c>
      <c r="D4" s="75">
        <v>464060</v>
      </c>
      <c r="E4" s="75">
        <v>123600</v>
      </c>
      <c r="F4" s="75"/>
      <c r="G4" s="75"/>
      <c r="H4" s="77">
        <v>1450702.9222110419</v>
      </c>
      <c r="I4" s="77">
        <v>0</v>
      </c>
      <c r="J4" s="75">
        <v>18772</v>
      </c>
      <c r="K4" s="75">
        <v>2057134.9222110419</v>
      </c>
      <c r="L4" s="77">
        <v>2057134.9222110419</v>
      </c>
      <c r="M4" s="534">
        <v>115.33333333333333</v>
      </c>
      <c r="N4" s="65">
        <v>306738.64491059916</v>
      </c>
      <c r="O4" s="81">
        <v>102.38775510204081</v>
      </c>
      <c r="P4" s="65">
        <v>11172.862186111561</v>
      </c>
      <c r="Q4" s="524">
        <v>2325.8415308553208</v>
      </c>
      <c r="R4" s="524">
        <v>2059460.7637418972</v>
      </c>
      <c r="S4" s="65">
        <v>1153333.3333333333</v>
      </c>
      <c r="T4" s="65">
        <v>0</v>
      </c>
      <c r="U4" s="72">
        <v>17856.596217415296</v>
      </c>
      <c r="V4" s="72">
        <v>1153333.3333333333</v>
      </c>
      <c r="W4" s="72"/>
      <c r="X4" s="72"/>
      <c r="Y4" s="72">
        <v>7856.5962174152955</v>
      </c>
      <c r="Z4" s="75">
        <v>906127.43040856393</v>
      </c>
      <c r="AA4" s="75">
        <v>2059460.7637418972</v>
      </c>
      <c r="AB4" s="75">
        <v>0</v>
      </c>
      <c r="AC4" s="15"/>
      <c r="AD4" s="65">
        <v>5095.3179190751443</v>
      </c>
      <c r="AE4" s="65">
        <v>451.86704214184948</v>
      </c>
      <c r="AF4" s="65">
        <v>5547.1849612169935</v>
      </c>
      <c r="AG4" s="535"/>
      <c r="AH4" s="76">
        <v>2057134.9222110419</v>
      </c>
      <c r="AI4" s="76">
        <v>2057134.9222110419</v>
      </c>
      <c r="AJ4" s="76">
        <v>0</v>
      </c>
    </row>
    <row r="5" spans="1:36" x14ac:dyDescent="0.25">
      <c r="A5" s="74">
        <v>9257005</v>
      </c>
      <c r="B5" s="67" t="s">
        <v>259</v>
      </c>
      <c r="C5" s="536" t="s">
        <v>247</v>
      </c>
      <c r="D5" s="75">
        <v>425940</v>
      </c>
      <c r="E5" s="75">
        <v>118450</v>
      </c>
      <c r="F5" s="75"/>
      <c r="G5" s="75"/>
      <c r="H5" s="77">
        <v>1111087.4538852279</v>
      </c>
      <c r="I5" s="77">
        <v>0</v>
      </c>
      <c r="J5" s="75">
        <v>13140.4</v>
      </c>
      <c r="K5" s="75">
        <v>1668617.8538852278</v>
      </c>
      <c r="L5" s="77">
        <v>1668617.8538852278</v>
      </c>
      <c r="M5" s="534">
        <v>88.583333333333343</v>
      </c>
      <c r="N5" s="65">
        <v>122031.12433747799</v>
      </c>
      <c r="O5" s="81">
        <v>83.433139534883736</v>
      </c>
      <c r="P5" s="65">
        <v>11854.478149347617</v>
      </c>
      <c r="Q5" s="524">
        <v>0</v>
      </c>
      <c r="R5" s="524">
        <v>1668617.8538852278</v>
      </c>
      <c r="S5" s="65">
        <v>885833.33333333337</v>
      </c>
      <c r="T5" s="65">
        <v>0</v>
      </c>
      <c r="U5" s="72">
        <v>18836.702019400502</v>
      </c>
      <c r="V5" s="72">
        <v>885833.33333333337</v>
      </c>
      <c r="W5" s="72"/>
      <c r="X5" s="72"/>
      <c r="Y5" s="72">
        <v>8836.7020194005017</v>
      </c>
      <c r="Z5" s="75">
        <v>782784.52055189444</v>
      </c>
      <c r="AA5" s="75">
        <v>1668617.8538852278</v>
      </c>
      <c r="AB5" s="75">
        <v>0</v>
      </c>
      <c r="AC5" s="15"/>
      <c r="AD5" s="65">
        <v>6145.5126999059257</v>
      </c>
      <c r="AE5" s="65">
        <v>602.97916559459327</v>
      </c>
      <c r="AF5" s="65">
        <v>6748.4918655005185</v>
      </c>
      <c r="AG5" s="535"/>
      <c r="AH5" s="76">
        <v>1668617.8538852278</v>
      </c>
      <c r="AI5" s="76">
        <v>1668617.8538852278</v>
      </c>
      <c r="AJ5" s="76">
        <v>0</v>
      </c>
    </row>
    <row r="6" spans="1:36" x14ac:dyDescent="0.25">
      <c r="A6" s="74">
        <v>9257025</v>
      </c>
      <c r="B6" s="67" t="s">
        <v>260</v>
      </c>
      <c r="C6" s="536" t="s">
        <v>246</v>
      </c>
      <c r="D6" s="75">
        <v>387820</v>
      </c>
      <c r="E6" s="75">
        <v>113300</v>
      </c>
      <c r="F6" s="75"/>
      <c r="G6" s="75"/>
      <c r="H6" s="77">
        <v>938087.7152146895</v>
      </c>
      <c r="I6" s="77">
        <v>0</v>
      </c>
      <c r="J6" s="75">
        <v>12671.1</v>
      </c>
      <c r="K6" s="75">
        <v>1451878.8152146896</v>
      </c>
      <c r="L6" s="77">
        <v>1451878.8152146896</v>
      </c>
      <c r="M6" s="534">
        <v>84.416666666666671</v>
      </c>
      <c r="N6" s="65">
        <v>101276.37319773184</v>
      </c>
      <c r="O6" s="81">
        <v>80.14240506329115</v>
      </c>
      <c r="P6" s="65">
        <v>10441.555146193825</v>
      </c>
      <c r="Q6" s="524">
        <v>8581.1995982040153</v>
      </c>
      <c r="R6" s="524">
        <v>1460460.0148128937</v>
      </c>
      <c r="S6" s="65">
        <v>844166.66666666674</v>
      </c>
      <c r="T6" s="65">
        <v>0</v>
      </c>
      <c r="U6" s="72">
        <v>17300.612218908907</v>
      </c>
      <c r="V6" s="72">
        <v>844166.66666666674</v>
      </c>
      <c r="W6" s="72"/>
      <c r="X6" s="72"/>
      <c r="Y6" s="72">
        <v>7300.6122189089074</v>
      </c>
      <c r="Z6" s="75">
        <v>616293.34814622696</v>
      </c>
      <c r="AA6" s="75">
        <v>1460460.0148128937</v>
      </c>
      <c r="AB6" s="75">
        <v>0</v>
      </c>
      <c r="AC6" s="15"/>
      <c r="AD6" s="65">
        <v>5936.2685093780847</v>
      </c>
      <c r="AE6" s="65">
        <v>573.66609322566342</v>
      </c>
      <c r="AF6" s="65">
        <v>6509.9346026037483</v>
      </c>
      <c r="AG6" s="535"/>
      <c r="AH6" s="76">
        <v>1451878.8152146896</v>
      </c>
      <c r="AI6" s="76">
        <v>1451878.8152146896</v>
      </c>
      <c r="AJ6" s="76">
        <v>0</v>
      </c>
    </row>
    <row r="7" spans="1:36" x14ac:dyDescent="0.25">
      <c r="A7" s="74">
        <v>9257024</v>
      </c>
      <c r="B7" s="67" t="s">
        <v>261</v>
      </c>
      <c r="C7" s="536" t="s">
        <v>246</v>
      </c>
      <c r="D7" s="75">
        <v>387820</v>
      </c>
      <c r="E7" s="75">
        <v>113300</v>
      </c>
      <c r="F7" s="75"/>
      <c r="G7" s="75"/>
      <c r="H7" s="77">
        <v>981968.02846039541</v>
      </c>
      <c r="I7" s="77">
        <v>0</v>
      </c>
      <c r="J7" s="75">
        <v>16425.5</v>
      </c>
      <c r="K7" s="75">
        <v>1499513.5284603955</v>
      </c>
      <c r="L7" s="77">
        <v>1499513.5284603955</v>
      </c>
      <c r="M7" s="534">
        <v>86.333333333333343</v>
      </c>
      <c r="N7" s="65">
        <v>121763.26047094856</v>
      </c>
      <c r="O7" s="81">
        <v>81.194444444444457</v>
      </c>
      <c r="P7" s="65">
        <v>10594.379626281247</v>
      </c>
      <c r="Q7" s="524">
        <v>8844.6388169908823</v>
      </c>
      <c r="R7" s="524">
        <v>1508358.1672773864</v>
      </c>
      <c r="S7" s="65">
        <v>863333.33333333337</v>
      </c>
      <c r="T7" s="65">
        <v>0</v>
      </c>
      <c r="U7" s="72">
        <v>17471.330122904088</v>
      </c>
      <c r="V7" s="72">
        <v>863333.33333333337</v>
      </c>
      <c r="W7" s="72"/>
      <c r="X7" s="72"/>
      <c r="Y7" s="72">
        <v>7471.3301229040881</v>
      </c>
      <c r="Z7" s="75">
        <v>645024.83394405304</v>
      </c>
      <c r="AA7" s="75">
        <v>1508358.1672773864</v>
      </c>
      <c r="AB7" s="75">
        <v>0</v>
      </c>
      <c r="AC7" s="15"/>
      <c r="AD7" s="65">
        <v>5804.4787644787639</v>
      </c>
      <c r="AE7" s="65">
        <v>563.46640316726894</v>
      </c>
      <c r="AF7" s="65">
        <v>6367.945167646033</v>
      </c>
      <c r="AG7" s="535"/>
      <c r="AH7" s="76">
        <v>1499513.5284603955</v>
      </c>
      <c r="AI7" s="76">
        <v>1499513.5284603955</v>
      </c>
      <c r="AJ7" s="76">
        <v>0</v>
      </c>
    </row>
    <row r="8" spans="1:36" ht="13" x14ac:dyDescent="0.3">
      <c r="A8" s="74">
        <v>9257031</v>
      </c>
      <c r="B8" s="13" t="s">
        <v>169</v>
      </c>
      <c r="C8" s="536" t="s">
        <v>248</v>
      </c>
      <c r="D8" s="75">
        <v>401550</v>
      </c>
      <c r="E8" s="75">
        <v>88550</v>
      </c>
      <c r="F8" s="75">
        <v>200541</v>
      </c>
      <c r="G8" s="75"/>
      <c r="H8" s="77">
        <v>1215325.5284515372</v>
      </c>
      <c r="I8" s="77">
        <v>0</v>
      </c>
      <c r="J8" s="75">
        <v>19710.600000000002</v>
      </c>
      <c r="K8" s="75">
        <v>1925677.1284515373</v>
      </c>
      <c r="L8" s="77">
        <v>1725136.1284515373</v>
      </c>
      <c r="M8" s="534">
        <v>80.416666666666671</v>
      </c>
      <c r="N8" s="65">
        <v>0</v>
      </c>
      <c r="O8" s="81">
        <v>80.416666666666671</v>
      </c>
      <c r="P8" s="65">
        <v>15112.856312350721</v>
      </c>
      <c r="Q8" s="524">
        <v>0</v>
      </c>
      <c r="R8" s="524">
        <v>1725136.1284515373</v>
      </c>
      <c r="S8" s="65">
        <v>804166.66666666674</v>
      </c>
      <c r="T8" s="65">
        <v>0</v>
      </c>
      <c r="U8" s="72">
        <v>21452.469991107198</v>
      </c>
      <c r="V8" s="72">
        <v>804166.66666666674</v>
      </c>
      <c r="W8" s="72"/>
      <c r="X8" s="72"/>
      <c r="Y8" s="72">
        <v>11452.469991107198</v>
      </c>
      <c r="Z8" s="75">
        <v>920969.4617848706</v>
      </c>
      <c r="AA8" s="75">
        <v>1725136.1284515373</v>
      </c>
      <c r="AB8" s="75">
        <v>0</v>
      </c>
      <c r="AC8" s="15"/>
      <c r="AD8" s="65">
        <v>6094.5077720207246</v>
      </c>
      <c r="AE8" s="65">
        <v>585.59837870932563</v>
      </c>
      <c r="AF8" s="65">
        <v>6680.1061507300501</v>
      </c>
      <c r="AG8" s="535"/>
      <c r="AH8" s="76">
        <v>1925677.1284515373</v>
      </c>
      <c r="AI8" s="76">
        <v>1925677.1284515373</v>
      </c>
      <c r="AJ8" s="76">
        <v>0</v>
      </c>
    </row>
    <row r="9" spans="1:36" x14ac:dyDescent="0.25">
      <c r="A9" s="74">
        <v>9257033</v>
      </c>
      <c r="B9" s="67" t="s">
        <v>269</v>
      </c>
      <c r="C9" s="536" t="s">
        <v>246</v>
      </c>
      <c r="D9" s="75">
        <v>387820</v>
      </c>
      <c r="E9" s="75">
        <v>113300</v>
      </c>
      <c r="F9" s="75"/>
      <c r="G9" s="75"/>
      <c r="H9" s="77">
        <v>997252.27983884769</v>
      </c>
      <c r="I9" s="77">
        <v>0</v>
      </c>
      <c r="J9" s="75">
        <v>24403.600000000002</v>
      </c>
      <c r="K9" s="75">
        <v>1522775.8798388478</v>
      </c>
      <c r="L9" s="77">
        <v>1522775.8798388478</v>
      </c>
      <c r="M9" s="534">
        <v>106.16666666666669</v>
      </c>
      <c r="N9" s="65">
        <v>23292.251327325594</v>
      </c>
      <c r="O9" s="81">
        <v>105.18364197530866</v>
      </c>
      <c r="P9" s="65">
        <v>9259.6149954586508</v>
      </c>
      <c r="Q9" s="524">
        <v>0</v>
      </c>
      <c r="R9" s="524">
        <v>1522775.8798388478</v>
      </c>
      <c r="S9" s="65">
        <v>1061666.6666666667</v>
      </c>
      <c r="T9" s="65">
        <v>0</v>
      </c>
      <c r="U9" s="72">
        <v>14343.257894871405</v>
      </c>
      <c r="V9" s="72">
        <v>1061666.6666666667</v>
      </c>
      <c r="W9" s="72"/>
      <c r="X9" s="72"/>
      <c r="Y9" s="72">
        <v>4343.2578948714054</v>
      </c>
      <c r="Z9" s="75">
        <v>461109.21317218104</v>
      </c>
      <c r="AA9" s="75">
        <v>1522775.8798388478</v>
      </c>
      <c r="AB9" s="75">
        <v>0</v>
      </c>
      <c r="AC9" s="15"/>
      <c r="AD9" s="65">
        <v>4720.1255886970166</v>
      </c>
      <c r="AE9" s="65">
        <v>567.38865789290401</v>
      </c>
      <c r="AF9" s="65">
        <v>5287.5142465899207</v>
      </c>
      <c r="AG9" s="535"/>
      <c r="AH9" s="76">
        <v>1522775.8798388478</v>
      </c>
      <c r="AI9" s="76">
        <v>1522775.8798388478</v>
      </c>
      <c r="AJ9" s="76">
        <v>0</v>
      </c>
    </row>
    <row r="10" spans="1:36" x14ac:dyDescent="0.25">
      <c r="A10" s="74">
        <v>9257008</v>
      </c>
      <c r="B10" s="67" t="s">
        <v>126</v>
      </c>
      <c r="C10" s="536" t="s">
        <v>246</v>
      </c>
      <c r="D10" s="75">
        <v>387820</v>
      </c>
      <c r="E10" s="75">
        <v>113300</v>
      </c>
      <c r="F10" s="75"/>
      <c r="G10" s="75"/>
      <c r="H10" s="77">
        <v>956233.34251339128</v>
      </c>
      <c r="I10" s="77">
        <v>0</v>
      </c>
      <c r="J10" s="75">
        <v>12201.800000000001</v>
      </c>
      <c r="K10" s="75">
        <v>1469555.1425133913</v>
      </c>
      <c r="L10" s="77">
        <v>1469555.1425133913</v>
      </c>
      <c r="M10" s="534">
        <v>100.16666666666667</v>
      </c>
      <c r="N10" s="65">
        <v>0</v>
      </c>
      <c r="O10" s="81">
        <v>100.16666666666667</v>
      </c>
      <c r="P10" s="65">
        <v>9546.4227205995794</v>
      </c>
      <c r="Q10" s="524">
        <v>0</v>
      </c>
      <c r="R10" s="524">
        <v>1469555.1425133913</v>
      </c>
      <c r="S10" s="65">
        <v>1001666.6666666667</v>
      </c>
      <c r="T10" s="65">
        <v>0</v>
      </c>
      <c r="U10" s="72">
        <v>14671.099592479779</v>
      </c>
      <c r="V10" s="72">
        <v>1001666.6666666667</v>
      </c>
      <c r="W10" s="72"/>
      <c r="X10" s="72"/>
      <c r="Y10" s="72">
        <v>4671.0995924797789</v>
      </c>
      <c r="Z10" s="75">
        <v>467888.47584672458</v>
      </c>
      <c r="AA10" s="75">
        <v>1469555.1425133913</v>
      </c>
      <c r="AB10" s="75">
        <v>0</v>
      </c>
      <c r="AC10" s="15"/>
      <c r="AD10" s="65">
        <v>5002.8618968386018</v>
      </c>
      <c r="AE10" s="65">
        <v>620.65829840093966</v>
      </c>
      <c r="AF10" s="65">
        <v>5623.5201952395419</v>
      </c>
      <c r="AG10" s="535"/>
      <c r="AH10" s="76">
        <v>1469555.1425133913</v>
      </c>
      <c r="AI10" s="76">
        <v>1469555.1425133913</v>
      </c>
      <c r="AJ10" s="76">
        <v>0</v>
      </c>
    </row>
    <row r="11" spans="1:36" x14ac:dyDescent="0.25">
      <c r="A11" s="74">
        <v>9257034</v>
      </c>
      <c r="B11" s="67" t="s">
        <v>270</v>
      </c>
      <c r="C11" s="536" t="s">
        <v>247</v>
      </c>
      <c r="D11" s="75">
        <v>425940</v>
      </c>
      <c r="E11" s="75">
        <v>118450</v>
      </c>
      <c r="F11" s="75"/>
      <c r="G11" s="75"/>
      <c r="H11" s="77">
        <v>1102419.9694233148</v>
      </c>
      <c r="I11" s="77">
        <v>0</v>
      </c>
      <c r="J11" s="75">
        <v>25342.2</v>
      </c>
      <c r="K11" s="75">
        <v>1672152.1694233147</v>
      </c>
      <c r="L11" s="77">
        <v>1672152.1694233147</v>
      </c>
      <c r="M11" s="534">
        <v>122.16666666666667</v>
      </c>
      <c r="N11" s="65">
        <v>26802.543521082673</v>
      </c>
      <c r="O11" s="81">
        <v>121.03549382716049</v>
      </c>
      <c r="P11" s="65">
        <v>8886.7933850728205</v>
      </c>
      <c r="Q11" s="524">
        <v>34011.53444176296</v>
      </c>
      <c r="R11" s="524">
        <v>1706163.7038650778</v>
      </c>
      <c r="S11" s="65">
        <v>1221666.6666666667</v>
      </c>
      <c r="T11" s="65">
        <v>0</v>
      </c>
      <c r="U11" s="72">
        <v>13965.869335866939</v>
      </c>
      <c r="V11" s="72">
        <v>1221666.6666666667</v>
      </c>
      <c r="W11" s="72"/>
      <c r="X11" s="72"/>
      <c r="Y11" s="72">
        <v>3965.8693358669389</v>
      </c>
      <c r="Z11" s="75">
        <v>484497.03719841107</v>
      </c>
      <c r="AA11" s="75">
        <v>1706163.7038650778</v>
      </c>
      <c r="AB11" s="75">
        <v>0</v>
      </c>
      <c r="AC11" s="15"/>
      <c r="AD11" s="65">
        <v>4456.1255115961803</v>
      </c>
      <c r="AE11" s="65">
        <v>575.78049371789302</v>
      </c>
      <c r="AF11" s="65">
        <v>5031.9060053140729</v>
      </c>
      <c r="AG11" s="535"/>
      <c r="AH11" s="76">
        <v>1672152.1694233147</v>
      </c>
      <c r="AI11" s="76">
        <v>1672152.1694233147</v>
      </c>
      <c r="AJ11" s="76">
        <v>0</v>
      </c>
    </row>
    <row r="12" spans="1:36" x14ac:dyDescent="0.25">
      <c r="A12" s="74">
        <v>9257002</v>
      </c>
      <c r="B12" s="67" t="s">
        <v>262</v>
      </c>
      <c r="C12" s="536" t="s">
        <v>248</v>
      </c>
      <c r="D12" s="75">
        <v>464060</v>
      </c>
      <c r="E12" s="75">
        <v>123600</v>
      </c>
      <c r="F12" s="75"/>
      <c r="G12" s="75"/>
      <c r="H12" s="77">
        <v>1484746.1499078074</v>
      </c>
      <c r="I12" s="77">
        <v>0</v>
      </c>
      <c r="J12" s="75">
        <v>19241.3</v>
      </c>
      <c r="K12" s="75">
        <v>2091647.4499078074</v>
      </c>
      <c r="L12" s="77">
        <v>2091647.4499078074</v>
      </c>
      <c r="M12" s="534">
        <v>155.66666666666669</v>
      </c>
      <c r="N12" s="65">
        <v>49509.25533678184</v>
      </c>
      <c r="O12" s="81">
        <v>153.5771812080537</v>
      </c>
      <c r="P12" s="65">
        <v>9345.3785470035746</v>
      </c>
      <c r="Q12" s="524">
        <v>0</v>
      </c>
      <c r="R12" s="524">
        <v>2091647.4499078074</v>
      </c>
      <c r="S12" s="65">
        <v>1556666.6666666667</v>
      </c>
      <c r="T12" s="65">
        <v>0</v>
      </c>
      <c r="U12" s="72">
        <v>13436.707386988055</v>
      </c>
      <c r="V12" s="72">
        <v>1556666.6666666667</v>
      </c>
      <c r="W12" s="72"/>
      <c r="X12" s="72"/>
      <c r="Y12" s="72">
        <v>3436.7073869880551</v>
      </c>
      <c r="Z12" s="75">
        <v>534980.78324114066</v>
      </c>
      <c r="AA12" s="75">
        <v>2091647.4499078074</v>
      </c>
      <c r="AB12" s="75">
        <v>0</v>
      </c>
      <c r="AC12" s="15"/>
      <c r="AD12" s="65">
        <v>3775.1177730192717</v>
      </c>
      <c r="AE12" s="65">
        <v>564.30159324770204</v>
      </c>
      <c r="AF12" s="65">
        <v>4339.4193662669741</v>
      </c>
      <c r="AG12" s="535"/>
      <c r="AH12" s="76">
        <v>2091647.4499078074</v>
      </c>
      <c r="AI12" s="76">
        <v>2091647.4499078074</v>
      </c>
      <c r="AJ12" s="76">
        <v>0</v>
      </c>
    </row>
    <row r="13" spans="1:36" x14ac:dyDescent="0.25">
      <c r="A13" s="74">
        <v>9257009</v>
      </c>
      <c r="B13" s="67" t="s">
        <v>334</v>
      </c>
      <c r="C13" s="536" t="s">
        <v>250</v>
      </c>
      <c r="D13" s="75">
        <v>550700</v>
      </c>
      <c r="E13" s="75">
        <v>144200</v>
      </c>
      <c r="F13" s="75"/>
      <c r="G13" s="75">
        <v>393880</v>
      </c>
      <c r="H13" s="77">
        <v>2038600.4346503685</v>
      </c>
      <c r="I13" s="77">
        <v>0</v>
      </c>
      <c r="J13" s="75">
        <v>32381.700000000004</v>
      </c>
      <c r="K13" s="75">
        <v>3159762.1346503687</v>
      </c>
      <c r="L13" s="77">
        <v>2765882.1346503687</v>
      </c>
      <c r="M13" s="534">
        <v>198.91666666666669</v>
      </c>
      <c r="N13" s="65">
        <v>224893.22423236337</v>
      </c>
      <c r="O13" s="81">
        <v>189.42528735632186</v>
      </c>
      <c r="P13" s="65">
        <v>9574.7892782989347</v>
      </c>
      <c r="Q13" s="524">
        <v>34686.323739454252</v>
      </c>
      <c r="R13" s="524">
        <v>2800568.4583898229</v>
      </c>
      <c r="S13" s="65">
        <v>1989166.6666666667</v>
      </c>
      <c r="T13" s="65">
        <v>0</v>
      </c>
      <c r="U13" s="72">
        <v>14079.104105855831</v>
      </c>
      <c r="V13" s="72">
        <v>1989166.6666666667</v>
      </c>
      <c r="W13" s="72"/>
      <c r="X13" s="72"/>
      <c r="Y13" s="72">
        <v>4079.1041058558312</v>
      </c>
      <c r="Z13" s="75">
        <v>811401.79172315612</v>
      </c>
      <c r="AA13" s="75">
        <v>2800568.4583898229</v>
      </c>
      <c r="AB13" s="75">
        <v>0</v>
      </c>
      <c r="AC13" s="15"/>
      <c r="AD13" s="65">
        <v>3493.4227063259318</v>
      </c>
      <c r="AE13" s="65">
        <v>408.60393139245548</v>
      </c>
      <c r="AF13" s="65">
        <v>3902.0266377183871</v>
      </c>
      <c r="AG13" s="535"/>
      <c r="AH13" s="679">
        <v>3159762.1346503687</v>
      </c>
      <c r="AI13" s="679">
        <v>1839650.9435036718</v>
      </c>
      <c r="AJ13" s="679">
        <v>1320111.1911466969</v>
      </c>
    </row>
    <row r="14" spans="1:36" ht="13" x14ac:dyDescent="0.3">
      <c r="A14" s="74">
        <v>9257029</v>
      </c>
      <c r="B14" s="13" t="s">
        <v>278</v>
      </c>
      <c r="C14" s="536" t="s">
        <v>247</v>
      </c>
      <c r="D14" s="75">
        <v>383275</v>
      </c>
      <c r="E14" s="75">
        <v>88550</v>
      </c>
      <c r="F14" s="75">
        <v>283674</v>
      </c>
      <c r="G14" s="75"/>
      <c r="H14" s="77">
        <v>1187618.6252122277</v>
      </c>
      <c r="I14" s="77">
        <v>0</v>
      </c>
      <c r="J14" s="75">
        <v>15017.6</v>
      </c>
      <c r="K14" s="75">
        <v>1958135.2252122278</v>
      </c>
      <c r="L14" s="77">
        <v>1674461.2252122278</v>
      </c>
      <c r="M14" s="534">
        <v>78.583333333333343</v>
      </c>
      <c r="N14" s="65">
        <v>0</v>
      </c>
      <c r="O14" s="81">
        <v>78.583333333333343</v>
      </c>
      <c r="P14" s="65">
        <v>15112.856312350721</v>
      </c>
      <c r="Q14" s="524">
        <v>0</v>
      </c>
      <c r="R14" s="524">
        <v>1674461.2252122278</v>
      </c>
      <c r="S14" s="65">
        <v>785833.33333333337</v>
      </c>
      <c r="T14" s="65">
        <v>0</v>
      </c>
      <c r="U14" s="72">
        <v>21308.096185097274</v>
      </c>
      <c r="V14" s="72">
        <v>785833.33333333337</v>
      </c>
      <c r="W14" s="72"/>
      <c r="X14" s="72"/>
      <c r="Y14" s="72">
        <v>11308.096185097274</v>
      </c>
      <c r="Z14" s="75">
        <v>888627.89187889441</v>
      </c>
      <c r="AA14" s="75">
        <v>1674461.2252122278</v>
      </c>
      <c r="AB14" s="75">
        <v>0</v>
      </c>
      <c r="AC14" s="15"/>
      <c r="AD14" s="65">
        <v>6004.1357370095429</v>
      </c>
      <c r="AE14" s="65">
        <v>555.26080943372142</v>
      </c>
      <c r="AF14" s="65">
        <v>6559.396546443264</v>
      </c>
      <c r="AG14" s="535"/>
      <c r="AH14" s="76">
        <v>1958135.2252122278</v>
      </c>
      <c r="AI14" s="76">
        <v>1958135.2252122278</v>
      </c>
      <c r="AJ14" s="76">
        <v>0</v>
      </c>
    </row>
    <row r="15" spans="1:36" ht="13" x14ac:dyDescent="0.3">
      <c r="A15" s="74">
        <v>9257032</v>
      </c>
      <c r="B15" s="13" t="s">
        <v>266</v>
      </c>
      <c r="C15" s="536" t="s">
        <v>247</v>
      </c>
      <c r="D15" s="75">
        <v>383275</v>
      </c>
      <c r="E15" s="75">
        <v>88550</v>
      </c>
      <c r="F15" s="75">
        <v>251809</v>
      </c>
      <c r="G15" s="75">
        <v>174700</v>
      </c>
      <c r="H15" s="77">
        <v>1571737.0564844753</v>
      </c>
      <c r="I15" s="77">
        <v>0</v>
      </c>
      <c r="J15" s="75">
        <v>22057.100000000002</v>
      </c>
      <c r="K15" s="75">
        <v>2492128.1564844754</v>
      </c>
      <c r="L15" s="77">
        <v>2065619.1564844754</v>
      </c>
      <c r="M15" s="534">
        <v>104</v>
      </c>
      <c r="N15" s="65">
        <v>0</v>
      </c>
      <c r="O15" s="81">
        <v>104</v>
      </c>
      <c r="P15" s="65">
        <v>15112.856312350723</v>
      </c>
      <c r="Q15" s="524">
        <v>0</v>
      </c>
      <c r="R15" s="524">
        <v>2065619.1564844754</v>
      </c>
      <c r="S15" s="65">
        <v>1040000</v>
      </c>
      <c r="T15" s="65">
        <v>0</v>
      </c>
      <c r="U15" s="72">
        <v>19861.722658504572</v>
      </c>
      <c r="V15" s="72">
        <v>1040000</v>
      </c>
      <c r="W15" s="72"/>
      <c r="X15" s="72"/>
      <c r="Y15" s="72">
        <v>9861.7226585045719</v>
      </c>
      <c r="Z15" s="75">
        <v>1025619.1564844754</v>
      </c>
      <c r="AA15" s="75">
        <v>2065619.1564844754</v>
      </c>
      <c r="AB15" s="75">
        <v>0</v>
      </c>
      <c r="AC15" s="15"/>
      <c r="AD15" s="65">
        <v>4536.7788461538457</v>
      </c>
      <c r="AE15" s="65">
        <v>532.87872513060836</v>
      </c>
      <c r="AF15" s="65">
        <v>5069.6575712844542</v>
      </c>
      <c r="AG15" s="535"/>
      <c r="AH15" s="76">
        <v>2492128.1564844754</v>
      </c>
      <c r="AI15" s="76">
        <v>2492128.1564844754</v>
      </c>
      <c r="AJ15" s="76">
        <v>0</v>
      </c>
    </row>
    <row r="16" spans="1:36" ht="13" x14ac:dyDescent="0.3">
      <c r="A16" s="74">
        <v>9257030</v>
      </c>
      <c r="B16" s="13" t="s">
        <v>268</v>
      </c>
      <c r="C16" s="536" t="s">
        <v>247</v>
      </c>
      <c r="D16" s="75">
        <v>383275</v>
      </c>
      <c r="E16" s="75">
        <v>88550</v>
      </c>
      <c r="F16" s="75">
        <v>309196</v>
      </c>
      <c r="G16" s="75"/>
      <c r="H16" s="77">
        <v>1070493.9887915095</v>
      </c>
      <c r="I16" s="77">
        <v>0</v>
      </c>
      <c r="J16" s="75">
        <v>16425.5</v>
      </c>
      <c r="K16" s="75">
        <v>1867940.4887915095</v>
      </c>
      <c r="L16" s="77">
        <v>1558744.4887915095</v>
      </c>
      <c r="M16" s="534">
        <v>70.833333333333343</v>
      </c>
      <c r="N16" s="65">
        <v>0</v>
      </c>
      <c r="O16" s="81">
        <v>70.833333333333343</v>
      </c>
      <c r="P16" s="65">
        <v>15112.856312350721</v>
      </c>
      <c r="Q16" s="524">
        <v>2905.6363932316312</v>
      </c>
      <c r="R16" s="524">
        <v>1561650.1251847411</v>
      </c>
      <c r="S16" s="65">
        <v>708333.33333333337</v>
      </c>
      <c r="T16" s="65">
        <v>0</v>
      </c>
      <c r="U16" s="72">
        <v>22046.825296725754</v>
      </c>
      <c r="V16" s="72">
        <v>708333.33333333337</v>
      </c>
      <c r="W16" s="72"/>
      <c r="X16" s="72"/>
      <c r="Y16" s="72">
        <v>12046.825296725754</v>
      </c>
      <c r="Z16" s="75">
        <v>853316.79185140773</v>
      </c>
      <c r="AA16" s="75">
        <v>1561650.1251847411</v>
      </c>
      <c r="AB16" s="75">
        <v>0</v>
      </c>
      <c r="AC16" s="15"/>
      <c r="AD16" s="65">
        <v>6661.0588235294108</v>
      </c>
      <c r="AE16" s="65">
        <v>604.32513019588157</v>
      </c>
      <c r="AF16" s="65">
        <v>7265.3839537252925</v>
      </c>
      <c r="AG16" s="535"/>
      <c r="AH16" s="76">
        <v>1867940.4887915095</v>
      </c>
      <c r="AI16" s="76">
        <v>1867940.4887915095</v>
      </c>
      <c r="AJ16" s="76">
        <v>0</v>
      </c>
    </row>
    <row r="17" spans="1:36" x14ac:dyDescent="0.25">
      <c r="A17" s="74">
        <v>9257028</v>
      </c>
      <c r="B17" s="67" t="s">
        <v>70</v>
      </c>
      <c r="C17" s="536" t="s">
        <v>249</v>
      </c>
      <c r="D17" s="75">
        <v>507380</v>
      </c>
      <c r="E17" s="75">
        <v>133900</v>
      </c>
      <c r="F17" s="75"/>
      <c r="G17" s="75"/>
      <c r="H17" s="77">
        <v>1590171.732654036</v>
      </c>
      <c r="I17" s="77">
        <v>0</v>
      </c>
      <c r="J17" s="75">
        <v>12201.800000000001</v>
      </c>
      <c r="K17" s="75">
        <v>2243653.5326540358</v>
      </c>
      <c r="L17" s="77">
        <v>2243653.5326540358</v>
      </c>
      <c r="M17" s="534">
        <v>129.91666666666669</v>
      </c>
      <c r="N17" s="65">
        <v>388021.87319279567</v>
      </c>
      <c r="O17" s="81">
        <v>113.54061624649862</v>
      </c>
      <c r="P17" s="65">
        <v>10587.839833908885</v>
      </c>
      <c r="Q17" s="524">
        <v>0</v>
      </c>
      <c r="R17" s="524">
        <v>2243653.5326540358</v>
      </c>
      <c r="S17" s="65">
        <v>1299166.6666666667</v>
      </c>
      <c r="T17" s="65">
        <v>0</v>
      </c>
      <c r="U17" s="72">
        <v>17269.943804905983</v>
      </c>
      <c r="V17" s="72">
        <v>1299166.6666666667</v>
      </c>
      <c r="W17" s="72"/>
      <c r="X17" s="72"/>
      <c r="Y17" s="72">
        <v>7269.9438049059827</v>
      </c>
      <c r="Z17" s="75">
        <v>944486.86598736909</v>
      </c>
      <c r="AA17" s="75">
        <v>2243653.5326540358</v>
      </c>
      <c r="AB17" s="75">
        <v>0</v>
      </c>
      <c r="AC17" s="15"/>
      <c r="AD17" s="65">
        <v>4936.0872354073117</v>
      </c>
      <c r="AE17" s="65">
        <v>502.8795372976283</v>
      </c>
      <c r="AF17" s="65">
        <v>5438.96677270494</v>
      </c>
      <c r="AG17" s="535"/>
      <c r="AH17" s="76">
        <v>2243653.5326540358</v>
      </c>
      <c r="AI17" s="76">
        <v>2243653.5326540358</v>
      </c>
      <c r="AJ17" s="76">
        <v>0</v>
      </c>
    </row>
    <row r="18" spans="1:36" x14ac:dyDescent="0.25">
      <c r="A18" s="74">
        <v>9257021</v>
      </c>
      <c r="B18" s="67" t="s">
        <v>263</v>
      </c>
      <c r="C18" s="536" t="s">
        <v>249</v>
      </c>
      <c r="D18" s="75">
        <v>507380</v>
      </c>
      <c r="E18" s="75">
        <v>133900</v>
      </c>
      <c r="F18" s="75"/>
      <c r="G18" s="75"/>
      <c r="H18" s="77">
        <v>1676380.6480545243</v>
      </c>
      <c r="I18" s="77">
        <v>0</v>
      </c>
      <c r="J18" s="75">
        <v>25342.2</v>
      </c>
      <c r="K18" s="75">
        <v>2343002.8480545245</v>
      </c>
      <c r="L18" s="77">
        <v>2343002.8480545245</v>
      </c>
      <c r="M18" s="534">
        <v>174.25</v>
      </c>
      <c r="N18" s="65">
        <v>48289.611691750295</v>
      </c>
      <c r="O18" s="81">
        <v>172.21198830409358</v>
      </c>
      <c r="P18" s="65">
        <v>9453.9936063444966</v>
      </c>
      <c r="Q18" s="524">
        <v>0</v>
      </c>
      <c r="R18" s="524">
        <v>2343002.8480545245</v>
      </c>
      <c r="S18" s="65">
        <v>1742500</v>
      </c>
      <c r="T18" s="65">
        <v>0</v>
      </c>
      <c r="U18" s="72">
        <v>13446.214336037443</v>
      </c>
      <c r="V18" s="72">
        <v>1742500</v>
      </c>
      <c r="W18" s="72"/>
      <c r="X18" s="72"/>
      <c r="Y18" s="72">
        <v>3446.214336037443</v>
      </c>
      <c r="Z18" s="75">
        <v>600502.84805452451</v>
      </c>
      <c r="AA18" s="75">
        <v>2343002.8480545245</v>
      </c>
      <c r="AB18" s="75">
        <v>0</v>
      </c>
      <c r="AC18" s="15"/>
      <c r="AD18" s="65">
        <v>3680.2295552367286</v>
      </c>
      <c r="AE18" s="65">
        <v>582.02699289514976</v>
      </c>
      <c r="AF18" s="65">
        <v>4262.2565481318779</v>
      </c>
      <c r="AG18" s="535"/>
      <c r="AH18" s="76">
        <v>2343002.8480545245</v>
      </c>
      <c r="AI18" s="76">
        <v>2343002.8480545245</v>
      </c>
      <c r="AJ18" s="76">
        <v>0</v>
      </c>
    </row>
    <row r="19" spans="1:36" ht="12.75" customHeight="1" x14ac:dyDescent="0.25">
      <c r="A19" s="74">
        <v>9257015</v>
      </c>
      <c r="B19" s="67" t="s">
        <v>72</v>
      </c>
      <c r="C19" s="536" t="s">
        <v>251</v>
      </c>
      <c r="D19" s="75">
        <v>597290</v>
      </c>
      <c r="E19" s="75">
        <v>149350</v>
      </c>
      <c r="F19" s="75"/>
      <c r="G19" s="75"/>
      <c r="H19" s="77">
        <v>2226865.9728884418</v>
      </c>
      <c r="I19" s="77">
        <v>0</v>
      </c>
      <c r="J19" s="75">
        <v>34258.9</v>
      </c>
      <c r="K19" s="75">
        <v>3007764.8728884417</v>
      </c>
      <c r="L19" s="77">
        <v>3007764.8728884417</v>
      </c>
      <c r="M19" s="534">
        <v>226.5</v>
      </c>
      <c r="N19" s="65">
        <v>47704.870913158658</v>
      </c>
      <c r="O19" s="81">
        <v>224.48666666666668</v>
      </c>
      <c r="P19" s="65">
        <v>9707.3074955095308</v>
      </c>
      <c r="Q19" s="524">
        <v>0</v>
      </c>
      <c r="R19" s="524">
        <v>3007764.8728884417</v>
      </c>
      <c r="S19" s="65">
        <v>2265000</v>
      </c>
      <c r="T19" s="65">
        <v>0</v>
      </c>
      <c r="U19" s="72">
        <v>13279.315112090249</v>
      </c>
      <c r="V19" s="72">
        <v>2265000</v>
      </c>
      <c r="W19" s="72"/>
      <c r="X19" s="72"/>
      <c r="Y19" s="72">
        <v>3279.3151120902494</v>
      </c>
      <c r="Z19" s="75">
        <v>742764.87288844166</v>
      </c>
      <c r="AA19" s="75">
        <v>3007764.8728884417</v>
      </c>
      <c r="AB19" s="75">
        <v>0</v>
      </c>
      <c r="AC19" s="15"/>
      <c r="AD19" s="65">
        <v>3296.4238410596026</v>
      </c>
      <c r="AE19" s="65">
        <v>619.93564076395523</v>
      </c>
      <c r="AF19" s="65">
        <v>3916.3594818235579</v>
      </c>
      <c r="AG19" s="535"/>
      <c r="AH19" s="76">
        <v>3007764.8728884417</v>
      </c>
      <c r="AI19" s="76">
        <v>3007764.8728884417</v>
      </c>
      <c r="AJ19" s="76">
        <v>0</v>
      </c>
    </row>
    <row r="20" spans="1:36" x14ac:dyDescent="0.25">
      <c r="A20" s="74">
        <v>9257016</v>
      </c>
      <c r="B20" s="67" t="s">
        <v>73</v>
      </c>
      <c r="C20" s="536" t="s">
        <v>251</v>
      </c>
      <c r="D20" s="75">
        <v>597290</v>
      </c>
      <c r="E20" s="75">
        <v>149350</v>
      </c>
      <c r="F20" s="75"/>
      <c r="G20" s="75"/>
      <c r="H20" s="77">
        <v>2366444.7040477116</v>
      </c>
      <c r="I20" s="77">
        <v>0</v>
      </c>
      <c r="J20" s="75">
        <v>22057.100000000002</v>
      </c>
      <c r="K20" s="75">
        <v>3135141.8040477117</v>
      </c>
      <c r="L20" s="77">
        <v>3135141.8040477117</v>
      </c>
      <c r="M20" s="534">
        <v>164.75</v>
      </c>
      <c r="N20" s="65">
        <v>838210.12849815481</v>
      </c>
      <c r="O20" s="81">
        <v>129.37423312883436</v>
      </c>
      <c r="P20" s="65">
        <v>11812.511182406002</v>
      </c>
      <c r="Q20" s="524">
        <v>0</v>
      </c>
      <c r="R20" s="524">
        <v>3135141.8040477117</v>
      </c>
      <c r="S20" s="65">
        <v>1647500</v>
      </c>
      <c r="T20" s="65">
        <v>0</v>
      </c>
      <c r="U20" s="72">
        <v>19029.692285570327</v>
      </c>
      <c r="V20" s="72">
        <v>1647500</v>
      </c>
      <c r="W20" s="72"/>
      <c r="X20" s="72"/>
      <c r="Y20" s="72">
        <v>9029.6922855703269</v>
      </c>
      <c r="Z20" s="75">
        <v>1487641.8040477117</v>
      </c>
      <c r="AA20" s="75">
        <v>3135141.8040477117</v>
      </c>
      <c r="AB20" s="75">
        <v>0</v>
      </c>
      <c r="AC20" s="15"/>
      <c r="AD20" s="65">
        <v>4531.9575113808805</v>
      </c>
      <c r="AE20" s="65">
        <v>503.508582758579</v>
      </c>
      <c r="AF20" s="65">
        <v>5035.4660941394595</v>
      </c>
      <c r="AG20" s="535"/>
      <c r="AH20" s="76">
        <v>3135141.8040477117</v>
      </c>
      <c r="AI20" s="15">
        <v>3135141.8040477117</v>
      </c>
      <c r="AJ20" s="76">
        <v>0</v>
      </c>
    </row>
    <row r="21" spans="1:36" x14ac:dyDescent="0.25">
      <c r="A21" s="78"/>
      <c r="B21" s="15"/>
      <c r="C21" s="64"/>
      <c r="D21" s="65"/>
      <c r="E21" s="65"/>
      <c r="F21" s="65"/>
      <c r="G21" s="65"/>
      <c r="H21" s="65"/>
      <c r="I21" s="65"/>
      <c r="J21" s="65"/>
      <c r="K21" s="64"/>
      <c r="L21" s="15"/>
      <c r="M21" s="64"/>
      <c r="N21" s="15"/>
      <c r="O21" s="15"/>
      <c r="P21" s="15"/>
      <c r="Q21" s="15"/>
      <c r="R21" s="15"/>
      <c r="S21" s="15"/>
      <c r="T21" s="15"/>
      <c r="U21" s="65"/>
      <c r="V21" s="64"/>
      <c r="W21" s="64"/>
      <c r="X21" s="64"/>
      <c r="Y21" s="64"/>
      <c r="Z21" s="15"/>
      <c r="AA21" s="15"/>
      <c r="AB21" s="64"/>
      <c r="AC21" s="15"/>
      <c r="AD21" s="15"/>
      <c r="AE21" s="15"/>
      <c r="AF21" s="15"/>
      <c r="AG21" s="15"/>
      <c r="AH21" s="15"/>
      <c r="AI21" s="15"/>
      <c r="AJ21" s="15"/>
    </row>
    <row r="22" spans="1:36" ht="13.5" customHeight="1" thickBot="1" x14ac:dyDescent="0.3">
      <c r="A22" s="78"/>
      <c r="B22" s="15"/>
      <c r="C22" s="15"/>
      <c r="D22" s="79">
        <v>7642695</v>
      </c>
      <c r="E22" s="79">
        <v>2002200</v>
      </c>
      <c r="F22" s="79">
        <v>1045220</v>
      </c>
      <c r="G22" s="79">
        <v>568580</v>
      </c>
      <c r="H22" s="79">
        <v>23966136.552689545</v>
      </c>
      <c r="I22" s="79">
        <v>0</v>
      </c>
      <c r="J22" s="79">
        <v>341650.4</v>
      </c>
      <c r="K22" s="79">
        <v>35566481.952689551</v>
      </c>
      <c r="L22" s="79">
        <v>33952681.952689551</v>
      </c>
      <c r="M22" s="80">
        <v>2087</v>
      </c>
      <c r="N22" s="79">
        <v>2298533.1616301704</v>
      </c>
      <c r="O22" s="80">
        <v>1989.9928528575979</v>
      </c>
      <c r="P22" s="80"/>
      <c r="Q22" s="79">
        <v>91355.174520499058</v>
      </c>
      <c r="R22" s="79">
        <v>34044037.127210051</v>
      </c>
      <c r="S22" s="79">
        <v>20870000</v>
      </c>
      <c r="T22" s="15"/>
      <c r="U22" s="65"/>
      <c r="V22" s="79">
        <v>20870000</v>
      </c>
      <c r="W22" s="79">
        <v>0</v>
      </c>
      <c r="X22" s="79">
        <v>0</v>
      </c>
      <c r="Y22" s="65"/>
      <c r="Z22" s="79">
        <v>13174037.127210047</v>
      </c>
      <c r="AA22" s="79">
        <v>34044037.127210051</v>
      </c>
      <c r="AB22" s="64"/>
      <c r="AC22" s="15"/>
      <c r="AD22" s="15"/>
      <c r="AE22" s="15"/>
      <c r="AF22" s="15"/>
      <c r="AG22" s="15"/>
      <c r="AH22" s="15"/>
      <c r="AI22" s="15"/>
      <c r="AJ22" s="15"/>
    </row>
    <row r="23" spans="1:36" ht="13" x14ac:dyDescent="0.3">
      <c r="A23" s="78"/>
      <c r="B23" s="15"/>
      <c r="C23" s="386"/>
      <c r="D23" s="385"/>
      <c r="E23" s="385"/>
      <c r="F23" s="385"/>
      <c r="G23" s="385"/>
      <c r="H23" s="385"/>
      <c r="I23" s="385"/>
      <c r="J23" s="385"/>
      <c r="K23" s="385"/>
      <c r="L23" s="387"/>
      <c r="M23" s="387"/>
      <c r="N23" s="385"/>
      <c r="O23" s="388"/>
      <c r="P23" s="385"/>
      <c r="Q23" s="385"/>
      <c r="R23" s="385"/>
      <c r="S23" s="76"/>
      <c r="T23" s="15"/>
      <c r="U23" s="65"/>
      <c r="V23" s="65"/>
      <c r="W23" s="65"/>
      <c r="X23" s="65"/>
      <c r="Y23" s="78"/>
      <c r="Z23" s="15"/>
      <c r="AA23" s="15"/>
      <c r="AB23" s="64"/>
      <c r="AC23" s="15"/>
      <c r="AD23" s="15"/>
      <c r="AE23" s="15"/>
      <c r="AF23" s="15"/>
      <c r="AG23" s="15"/>
      <c r="AH23" s="78"/>
      <c r="AI23" s="15"/>
      <c r="AJ23" s="15"/>
    </row>
    <row r="24" spans="1:36" ht="13" x14ac:dyDescent="0.3">
      <c r="A24" s="15"/>
      <c r="B24" s="355" t="s">
        <v>335</v>
      </c>
      <c r="C24" s="64"/>
      <c r="D24" s="566">
        <v>555195</v>
      </c>
      <c r="E24" s="566">
        <v>-2800</v>
      </c>
      <c r="F24" s="574"/>
      <c r="G24" s="566"/>
      <c r="H24" s="566">
        <v>1422709.8100403396</v>
      </c>
      <c r="I24" s="566"/>
      <c r="J24" s="566">
        <v>52142.150000000023</v>
      </c>
      <c r="K24" s="566"/>
      <c r="L24" s="566"/>
      <c r="M24" s="575">
        <v>98.5</v>
      </c>
      <c r="N24" s="15"/>
      <c r="O24" s="361"/>
      <c r="P24" s="361"/>
      <c r="Q24" s="15" t="s">
        <v>305</v>
      </c>
      <c r="R24" s="65">
        <v>32192766.037028458</v>
      </c>
      <c r="S24" s="15"/>
      <c r="T24" s="15"/>
      <c r="U24" s="65"/>
      <c r="V24" s="64"/>
      <c r="W24" s="64"/>
      <c r="X24" s="64"/>
      <c r="Y24" s="64"/>
      <c r="Z24" s="64"/>
      <c r="AA24" s="64" t="s">
        <v>336</v>
      </c>
      <c r="AB24" s="64"/>
      <c r="AC24" s="15"/>
      <c r="AD24" s="15"/>
      <c r="AE24" s="15"/>
      <c r="AF24" s="15"/>
      <c r="AG24" s="15"/>
      <c r="AH24" s="15">
        <v>1320111.1911466967</v>
      </c>
      <c r="AI24" s="76">
        <v>1320111.1911466967</v>
      </c>
      <c r="AJ24" s="15"/>
    </row>
    <row r="25" spans="1:36" ht="13" x14ac:dyDescent="0.3">
      <c r="A25" s="15"/>
      <c r="B25" s="64"/>
      <c r="C25" s="15"/>
      <c r="D25" s="65"/>
      <c r="E25" s="375"/>
      <c r="F25" s="64"/>
      <c r="G25" s="64"/>
      <c r="H25" s="15"/>
      <c r="I25" s="76"/>
      <c r="J25" s="15"/>
      <c r="K25" s="64"/>
      <c r="L25" s="15"/>
      <c r="M25" s="81"/>
      <c r="N25" s="15"/>
      <c r="O25" s="15"/>
      <c r="P25" s="15"/>
      <c r="Q25" s="15"/>
      <c r="R25" s="64"/>
      <c r="S25" s="385"/>
      <c r="T25" s="15"/>
      <c r="U25" s="65"/>
      <c r="V25" s="64"/>
      <c r="W25" s="64"/>
      <c r="X25" s="64"/>
      <c r="Y25" s="64"/>
      <c r="Z25" s="64"/>
      <c r="AA25" s="15"/>
      <c r="AB25" s="64"/>
      <c r="AC25" s="15"/>
      <c r="AD25" s="15"/>
      <c r="AE25" s="15"/>
      <c r="AF25" s="15"/>
      <c r="AG25" s="15"/>
      <c r="AH25" s="15"/>
      <c r="AI25" s="15"/>
      <c r="AJ25" s="15"/>
    </row>
    <row r="26" spans="1:36" x14ac:dyDescent="0.25">
      <c r="A26" s="74">
        <v>9257010</v>
      </c>
      <c r="B26" s="67" t="s">
        <v>258</v>
      </c>
      <c r="C26" s="536" t="s">
        <v>248</v>
      </c>
      <c r="D26" s="75">
        <v>420000</v>
      </c>
      <c r="E26" s="75">
        <v>120000</v>
      </c>
      <c r="F26" s="75"/>
      <c r="G26" s="75"/>
      <c r="H26" s="77">
        <v>1158838.1764308882</v>
      </c>
      <c r="I26" s="77">
        <v>21498.253968253968</v>
      </c>
      <c r="J26" s="75">
        <v>7630.4500000000007</v>
      </c>
      <c r="K26" s="75">
        <v>1727966.8803991422</v>
      </c>
      <c r="L26" s="77">
        <v>1727966.8803991422</v>
      </c>
      <c r="M26" s="534">
        <v>85.666666666666671</v>
      </c>
      <c r="N26" s="628">
        <v>29.666666666666657</v>
      </c>
      <c r="O26" s="15"/>
      <c r="P26" s="76"/>
      <c r="Q26" s="15" t="s">
        <v>1</v>
      </c>
      <c r="R26" s="65">
        <v>1851271.0901815929</v>
      </c>
      <c r="S26" s="15"/>
      <c r="T26" s="15"/>
      <c r="U26" s="65"/>
      <c r="V26" s="64"/>
      <c r="W26" s="64"/>
      <c r="X26" s="64"/>
      <c r="Y26" s="64"/>
      <c r="Z26" s="64"/>
      <c r="AA26" s="15"/>
      <c r="AB26" s="64"/>
      <c r="AC26" s="15"/>
      <c r="AD26" s="15"/>
      <c r="AE26" s="15"/>
      <c r="AF26" s="15"/>
      <c r="AG26" s="15"/>
      <c r="AH26" s="15"/>
      <c r="AI26" s="76">
        <v>0</v>
      </c>
      <c r="AJ26" s="15"/>
    </row>
    <row r="27" spans="1:36" x14ac:dyDescent="0.25">
      <c r="A27" s="74">
        <v>9257005</v>
      </c>
      <c r="B27" s="67" t="s">
        <v>259</v>
      </c>
      <c r="C27" s="537" t="s">
        <v>246</v>
      </c>
      <c r="D27" s="75">
        <v>360000</v>
      </c>
      <c r="E27" s="75">
        <v>110000</v>
      </c>
      <c r="F27" s="75"/>
      <c r="G27" s="75"/>
      <c r="H27" s="77">
        <v>1001409.0586673757</v>
      </c>
      <c r="I27" s="77">
        <v>13710.234375</v>
      </c>
      <c r="J27" s="75">
        <v>10323.550000000001</v>
      </c>
      <c r="K27" s="75">
        <v>1495442.8430423758</v>
      </c>
      <c r="L27" s="77">
        <v>1495442.8430423758</v>
      </c>
      <c r="M27" s="534">
        <v>83.25</v>
      </c>
      <c r="N27" s="628">
        <v>5.3333333333333428</v>
      </c>
      <c r="O27" s="15"/>
      <c r="P27" s="15"/>
      <c r="Q27" s="15"/>
      <c r="R27" s="64"/>
      <c r="S27" s="15"/>
      <c r="T27" s="15"/>
      <c r="U27" s="65"/>
      <c r="V27" s="64"/>
      <c r="W27" s="64"/>
      <c r="X27" s="64"/>
      <c r="Y27" s="64"/>
      <c r="Z27" s="15"/>
      <c r="AA27" s="15"/>
      <c r="AB27" s="64"/>
      <c r="AC27" s="15"/>
      <c r="AD27" s="15"/>
      <c r="AE27" s="15"/>
      <c r="AF27" s="15"/>
      <c r="AG27" s="15"/>
      <c r="AH27" s="15"/>
      <c r="AI27" s="15"/>
      <c r="AJ27" s="15"/>
    </row>
    <row r="28" spans="1:36" x14ac:dyDescent="0.25">
      <c r="A28" s="74">
        <v>9257025</v>
      </c>
      <c r="B28" s="67" t="s">
        <v>260</v>
      </c>
      <c r="C28" s="536" t="s">
        <v>246</v>
      </c>
      <c r="D28" s="75">
        <v>360000</v>
      </c>
      <c r="E28" s="75">
        <v>110000</v>
      </c>
      <c r="F28" s="75"/>
      <c r="G28" s="75"/>
      <c r="H28" s="77">
        <v>857582.99105446076</v>
      </c>
      <c r="I28" s="77">
        <v>7956.3311688311687</v>
      </c>
      <c r="J28" s="75">
        <v>9425.85</v>
      </c>
      <c r="K28" s="75">
        <v>1344965.1722232921</v>
      </c>
      <c r="L28" s="77">
        <v>1344965.1722232921</v>
      </c>
      <c r="M28" s="534">
        <v>77.5</v>
      </c>
      <c r="N28" s="628">
        <v>6.9166666666666714</v>
      </c>
      <c r="O28" s="15"/>
      <c r="P28" s="15"/>
      <c r="Q28" s="15"/>
      <c r="R28" s="65">
        <v>2245151.0901815929</v>
      </c>
      <c r="S28" s="15"/>
      <c r="T28" s="15"/>
      <c r="U28" s="65"/>
      <c r="V28" s="64"/>
      <c r="W28" s="64"/>
      <c r="X28" s="64"/>
      <c r="Y28" s="64"/>
      <c r="Z28" s="15"/>
      <c r="AA28" s="15"/>
      <c r="AB28" s="64"/>
      <c r="AC28" s="15"/>
      <c r="AD28" s="15"/>
      <c r="AE28" s="15"/>
      <c r="AF28" s="15"/>
      <c r="AG28" s="15"/>
      <c r="AH28" s="15"/>
      <c r="AI28" s="15"/>
      <c r="AJ28" s="15"/>
    </row>
    <row r="29" spans="1:36" x14ac:dyDescent="0.25">
      <c r="A29" s="74">
        <v>9257011</v>
      </c>
      <c r="B29" s="67" t="s">
        <v>65</v>
      </c>
      <c r="C29" s="536" t="s">
        <v>245</v>
      </c>
      <c r="D29" s="75">
        <v>332500</v>
      </c>
      <c r="E29" s="75">
        <v>105000</v>
      </c>
      <c r="F29" s="75"/>
      <c r="G29" s="75"/>
      <c r="H29" s="77">
        <v>743100.46710014949</v>
      </c>
      <c r="I29" s="77">
        <v>2883.5849056603774</v>
      </c>
      <c r="J29" s="75">
        <v>10772.400000000001</v>
      </c>
      <c r="K29" s="75">
        <v>1194256.4520058099</v>
      </c>
      <c r="L29" s="77">
        <v>1194256.4520058099</v>
      </c>
      <c r="M29" s="534">
        <v>58</v>
      </c>
      <c r="N29" s="628">
        <v>-58</v>
      </c>
      <c r="O29" s="106"/>
      <c r="P29" s="106"/>
      <c r="Q29" s="106"/>
      <c r="R29" s="106"/>
      <c r="S29" s="106"/>
      <c r="T29" s="106"/>
      <c r="U29" s="106"/>
      <c r="V29" s="106"/>
      <c r="W29" s="106"/>
      <c r="X29" s="106"/>
      <c r="Y29" s="106"/>
      <c r="Z29" s="106"/>
      <c r="AA29" s="106"/>
      <c r="AB29" s="106"/>
      <c r="AC29" s="15"/>
      <c r="AD29" s="15"/>
      <c r="AE29" s="15"/>
      <c r="AF29" s="15"/>
      <c r="AG29" s="15"/>
      <c r="AH29" s="15"/>
      <c r="AI29" s="15"/>
      <c r="AJ29" s="15"/>
    </row>
    <row r="30" spans="1:36" x14ac:dyDescent="0.25">
      <c r="A30" s="74">
        <v>9257024</v>
      </c>
      <c r="B30" s="67" t="s">
        <v>261</v>
      </c>
      <c r="C30" s="536" t="s">
        <v>246</v>
      </c>
      <c r="D30" s="75">
        <v>360000</v>
      </c>
      <c r="E30" s="75">
        <v>110000</v>
      </c>
      <c r="F30" s="75"/>
      <c r="G30" s="75"/>
      <c r="H30" s="77">
        <v>983575.69878823857</v>
      </c>
      <c r="I30" s="77">
        <v>2664.1014056224903</v>
      </c>
      <c r="J30" s="75">
        <v>9874.7000000000007</v>
      </c>
      <c r="K30" s="75">
        <v>1466114.5001938611</v>
      </c>
      <c r="L30" s="77">
        <v>1466114.5001938611</v>
      </c>
      <c r="M30" s="534">
        <v>83.916666666666686</v>
      </c>
      <c r="N30" s="628">
        <v>2.4166666666666572</v>
      </c>
      <c r="O30" s="15"/>
      <c r="P30" s="15"/>
      <c r="Q30" s="15"/>
      <c r="R30" s="65"/>
      <c r="S30" s="15"/>
      <c r="T30" s="15"/>
      <c r="U30" s="65"/>
      <c r="V30" s="64"/>
      <c r="W30" s="64"/>
      <c r="X30" s="64"/>
      <c r="Y30" s="64"/>
      <c r="Z30" s="15"/>
      <c r="AA30" s="15"/>
      <c r="AB30" s="64"/>
      <c r="AC30" s="15"/>
      <c r="AD30" s="15"/>
      <c r="AE30" s="15"/>
      <c r="AF30" s="15"/>
      <c r="AG30" s="15"/>
      <c r="AH30" s="15"/>
      <c r="AI30" s="15"/>
      <c r="AJ30" s="15"/>
    </row>
    <row r="31" spans="1:36" x14ac:dyDescent="0.25">
      <c r="A31" s="74">
        <v>9257031</v>
      </c>
      <c r="B31" s="67" t="s">
        <v>169</v>
      </c>
      <c r="C31" s="536" t="s">
        <v>248</v>
      </c>
      <c r="D31" s="75">
        <v>360000</v>
      </c>
      <c r="E31" s="75">
        <v>85000</v>
      </c>
      <c r="F31" s="75">
        <v>187683</v>
      </c>
      <c r="G31" s="75"/>
      <c r="H31" s="77">
        <v>971767.43493117648</v>
      </c>
      <c r="I31" s="77">
        <v>212337.08333333337</v>
      </c>
      <c r="J31" s="75">
        <v>21095.95</v>
      </c>
      <c r="K31" s="75">
        <v>1837883.4682645097</v>
      </c>
      <c r="L31" s="77">
        <v>1650200.4682645097</v>
      </c>
      <c r="M31" s="534">
        <v>80.583333333333343</v>
      </c>
      <c r="N31" s="628">
        <v>-0.1666666666666714</v>
      </c>
      <c r="O31" s="15"/>
      <c r="P31" s="15"/>
      <c r="Q31" s="15"/>
      <c r="R31" s="15"/>
      <c r="S31" s="15"/>
      <c r="T31" s="15"/>
      <c r="U31" s="65"/>
      <c r="V31" s="64"/>
      <c r="W31" s="64"/>
      <c r="X31" s="64"/>
      <c r="Y31" s="64"/>
      <c r="Z31" s="15"/>
      <c r="AA31" s="15"/>
      <c r="AB31" s="64"/>
      <c r="AC31" s="15"/>
      <c r="AD31" s="15"/>
      <c r="AE31" s="15"/>
      <c r="AF31" s="15"/>
      <c r="AG31" s="15"/>
      <c r="AH31" s="15"/>
      <c r="AI31" s="15"/>
      <c r="AJ31" s="15"/>
    </row>
    <row r="32" spans="1:36" x14ac:dyDescent="0.25">
      <c r="A32" s="74">
        <v>9257033</v>
      </c>
      <c r="B32" s="67" t="s">
        <v>269</v>
      </c>
      <c r="C32" s="536" t="s">
        <v>246</v>
      </c>
      <c r="D32" s="75">
        <v>360000</v>
      </c>
      <c r="E32" s="75">
        <v>110000</v>
      </c>
      <c r="F32" s="75"/>
      <c r="G32" s="75"/>
      <c r="H32" s="77">
        <v>920915.78688585176</v>
      </c>
      <c r="I32" s="77">
        <v>16378.605263157897</v>
      </c>
      <c r="J32" s="75">
        <v>21993.65</v>
      </c>
      <c r="K32" s="75">
        <v>1429288.0421490096</v>
      </c>
      <c r="L32" s="77">
        <v>1429288.0421490096</v>
      </c>
      <c r="M32" s="534">
        <v>98.416666666666671</v>
      </c>
      <c r="N32" s="628">
        <v>7.7500000000000142</v>
      </c>
      <c r="O32" s="15"/>
      <c r="P32" s="15"/>
      <c r="Q32" s="15"/>
      <c r="R32" s="93"/>
      <c r="S32" s="15"/>
      <c r="T32" s="15"/>
      <c r="U32" s="65"/>
      <c r="V32" s="64"/>
      <c r="W32" s="64"/>
      <c r="X32" s="64"/>
      <c r="Y32" s="64"/>
      <c r="Z32" s="15"/>
      <c r="AA32" s="15"/>
      <c r="AB32" s="64"/>
      <c r="AC32" s="15"/>
      <c r="AD32" s="15"/>
      <c r="AE32" s="15"/>
      <c r="AF32" s="15"/>
      <c r="AG32" s="15"/>
      <c r="AH32" s="15"/>
      <c r="AI32" s="15"/>
      <c r="AJ32" s="15"/>
    </row>
    <row r="33" spans="1:28" x14ac:dyDescent="0.25">
      <c r="A33" s="74">
        <v>9257008</v>
      </c>
      <c r="B33" s="67" t="s">
        <v>126</v>
      </c>
      <c r="C33" s="536" t="s">
        <v>246</v>
      </c>
      <c r="D33" s="75">
        <v>360000</v>
      </c>
      <c r="E33" s="75">
        <v>110000</v>
      </c>
      <c r="F33" s="75"/>
      <c r="G33" s="75"/>
      <c r="H33" s="77">
        <v>955264.96067784482</v>
      </c>
      <c r="I33" s="77">
        <v>20991.279461279461</v>
      </c>
      <c r="J33" s="75">
        <v>14363.2</v>
      </c>
      <c r="K33" s="75">
        <v>1460619.4401391244</v>
      </c>
      <c r="L33" s="77">
        <v>1460619.4401391244</v>
      </c>
      <c r="M33" s="534">
        <v>98.583333333333343</v>
      </c>
      <c r="N33" s="628">
        <v>1.5833333333333286</v>
      </c>
      <c r="O33" s="15"/>
      <c r="P33" s="15"/>
      <c r="Q33" s="104"/>
      <c r="R33" s="15"/>
      <c r="S33" s="15"/>
      <c r="T33" s="15"/>
      <c r="U33" s="65"/>
      <c r="V33" s="64"/>
      <c r="W33" s="64"/>
      <c r="X33" s="64"/>
      <c r="Y33" s="64"/>
      <c r="Z33" s="15"/>
      <c r="AA33" s="15"/>
      <c r="AB33" s="64"/>
    </row>
    <row r="34" spans="1:28" x14ac:dyDescent="0.25">
      <c r="A34" s="74">
        <v>9257034</v>
      </c>
      <c r="B34" s="67" t="s">
        <v>270</v>
      </c>
      <c r="C34" s="537" t="s">
        <v>247</v>
      </c>
      <c r="D34" s="75">
        <v>390000</v>
      </c>
      <c r="E34" s="75">
        <v>115000</v>
      </c>
      <c r="F34" s="75"/>
      <c r="G34" s="75"/>
      <c r="H34" s="77">
        <v>1087703.2634701165</v>
      </c>
      <c r="I34" s="77">
        <v>45895.134680134681</v>
      </c>
      <c r="J34" s="75">
        <v>21095.95</v>
      </c>
      <c r="K34" s="75">
        <v>1659694.3481502512</v>
      </c>
      <c r="L34" s="77">
        <v>1659694.3481502512</v>
      </c>
      <c r="M34" s="534">
        <v>123.16666666666666</v>
      </c>
      <c r="N34" s="628">
        <v>-0.99999999999998579</v>
      </c>
      <c r="O34" s="15"/>
      <c r="P34" s="15"/>
      <c r="Q34" s="15"/>
      <c r="R34" s="15"/>
      <c r="S34" s="15"/>
      <c r="T34" s="15"/>
      <c r="U34" s="65"/>
      <c r="V34" s="64"/>
      <c r="W34" s="64"/>
      <c r="X34" s="64"/>
      <c r="Y34" s="64"/>
      <c r="Z34" s="15"/>
      <c r="AA34" s="15"/>
      <c r="AB34" s="64"/>
    </row>
    <row r="35" spans="1:28" x14ac:dyDescent="0.25">
      <c r="A35" s="74">
        <v>9257002</v>
      </c>
      <c r="B35" s="67" t="s">
        <v>262</v>
      </c>
      <c r="C35" s="536" t="s">
        <v>248</v>
      </c>
      <c r="D35" s="75">
        <v>420000</v>
      </c>
      <c r="E35" s="75">
        <v>120000</v>
      </c>
      <c r="F35" s="75"/>
      <c r="G35" s="75"/>
      <c r="H35" s="77">
        <v>1324642.7827644676</v>
      </c>
      <c r="I35" s="77">
        <v>50653.670212765952</v>
      </c>
      <c r="J35" s="75">
        <v>18851.7</v>
      </c>
      <c r="K35" s="75">
        <v>1934148.1529772335</v>
      </c>
      <c r="L35" s="77">
        <v>1934148.1529772335</v>
      </c>
      <c r="M35" s="534">
        <v>150.58333333333334</v>
      </c>
      <c r="N35" s="628">
        <v>5.0833333333333428</v>
      </c>
      <c r="O35" s="15"/>
      <c r="P35" s="15"/>
      <c r="Q35" s="15"/>
      <c r="R35" s="15"/>
      <c r="S35" s="15"/>
      <c r="T35" s="15"/>
      <c r="U35" s="65"/>
      <c r="V35" s="64"/>
      <c r="W35" s="64"/>
      <c r="X35" s="64"/>
      <c r="Y35" s="64"/>
      <c r="Z35" s="15"/>
      <c r="AA35" s="15"/>
      <c r="AB35" s="64"/>
    </row>
    <row r="36" spans="1:28" x14ac:dyDescent="0.25">
      <c r="A36" s="74">
        <v>9257009</v>
      </c>
      <c r="B36" s="67" t="s">
        <v>160</v>
      </c>
      <c r="C36" s="536" t="s">
        <v>247</v>
      </c>
      <c r="D36" s="75">
        <v>390000</v>
      </c>
      <c r="E36" s="75">
        <v>115000</v>
      </c>
      <c r="F36" s="75"/>
      <c r="G36" s="75"/>
      <c r="H36" s="77">
        <v>1156108.9567382953</v>
      </c>
      <c r="I36" s="77">
        <v>28668.800000000007</v>
      </c>
      <c r="J36" s="75">
        <v>22442.5</v>
      </c>
      <c r="K36" s="75">
        <v>1712220.2567382953</v>
      </c>
      <c r="L36" s="77">
        <v>1712220.2567382953</v>
      </c>
      <c r="M36" s="534">
        <v>136</v>
      </c>
      <c r="N36" s="628">
        <v>62.916666666666686</v>
      </c>
      <c r="O36" s="15"/>
      <c r="P36" s="15"/>
      <c r="Q36" s="15"/>
      <c r="R36" s="15"/>
      <c r="S36" s="15"/>
      <c r="T36" s="15"/>
      <c r="U36" s="15"/>
      <c r="V36" s="15"/>
      <c r="W36" s="15"/>
      <c r="X36" s="15"/>
      <c r="Y36" s="15"/>
      <c r="Z36" s="15"/>
      <c r="AA36" s="15"/>
      <c r="AB36" s="15"/>
    </row>
    <row r="37" spans="1:28" x14ac:dyDescent="0.25">
      <c r="A37" s="74">
        <v>9257029</v>
      </c>
      <c r="B37" s="67" t="s">
        <v>278</v>
      </c>
      <c r="C37" s="537" t="s">
        <v>247</v>
      </c>
      <c r="D37" s="75">
        <v>350000</v>
      </c>
      <c r="E37" s="75">
        <v>85000</v>
      </c>
      <c r="F37" s="75">
        <v>265481</v>
      </c>
      <c r="G37" s="75"/>
      <c r="H37" s="77">
        <v>900417.39575836004</v>
      </c>
      <c r="I37" s="77">
        <v>196746.66666666669</v>
      </c>
      <c r="J37" s="75">
        <v>10323.550000000001</v>
      </c>
      <c r="K37" s="75">
        <v>1807968.6124250269</v>
      </c>
      <c r="L37" s="77">
        <v>1542487.6124250269</v>
      </c>
      <c r="M37" s="534">
        <v>74.666666666666671</v>
      </c>
      <c r="N37" s="628">
        <v>3.9166666666666714</v>
      </c>
      <c r="O37" s="15"/>
      <c r="P37" s="15"/>
      <c r="Q37" s="15"/>
      <c r="R37" s="15"/>
      <c r="S37" s="15"/>
      <c r="T37" s="15"/>
      <c r="U37" s="15"/>
      <c r="V37" s="15"/>
      <c r="W37" s="15"/>
      <c r="X37" s="15"/>
      <c r="Y37" s="15"/>
      <c r="Z37" s="15"/>
      <c r="AA37" s="15"/>
      <c r="AB37" s="15"/>
    </row>
    <row r="38" spans="1:28" x14ac:dyDescent="0.25">
      <c r="A38" s="74">
        <v>9257032</v>
      </c>
      <c r="B38" s="67" t="s">
        <v>266</v>
      </c>
      <c r="C38" s="74" t="s">
        <v>247</v>
      </c>
      <c r="D38" s="75">
        <v>350000</v>
      </c>
      <c r="E38" s="75">
        <v>85000</v>
      </c>
      <c r="F38" s="75">
        <v>235661</v>
      </c>
      <c r="G38" s="75">
        <v>168000</v>
      </c>
      <c r="H38" s="77">
        <v>1143610.4870234528</v>
      </c>
      <c r="I38" s="77">
        <v>249885.83333333337</v>
      </c>
      <c r="J38" s="75">
        <v>19300.55</v>
      </c>
      <c r="K38" s="75">
        <v>2251457.8703567861</v>
      </c>
      <c r="L38" s="77">
        <v>1847796.8703567861</v>
      </c>
      <c r="M38" s="534">
        <v>94.833333333333343</v>
      </c>
      <c r="N38" s="628">
        <v>9.1666666666666572</v>
      </c>
      <c r="O38" s="15"/>
      <c r="P38" s="15"/>
      <c r="Q38" s="15"/>
      <c r="R38" s="15"/>
      <c r="S38" s="15"/>
      <c r="T38" s="15"/>
      <c r="U38" s="15"/>
      <c r="V38" s="15"/>
      <c r="W38" s="15"/>
      <c r="X38" s="15"/>
      <c r="Y38" s="15"/>
      <c r="Z38" s="15"/>
      <c r="AA38" s="15"/>
      <c r="AB38" s="15"/>
    </row>
    <row r="39" spans="1:28" ht="13" x14ac:dyDescent="0.3">
      <c r="A39" s="74">
        <v>9257030</v>
      </c>
      <c r="B39" s="13" t="s">
        <v>268</v>
      </c>
      <c r="C39" s="536" t="s">
        <v>247</v>
      </c>
      <c r="D39" s="75">
        <v>350000</v>
      </c>
      <c r="E39" s="75">
        <v>85000</v>
      </c>
      <c r="F39" s="75">
        <v>289365</v>
      </c>
      <c r="G39" s="75"/>
      <c r="H39" s="77">
        <v>883333.58356205188</v>
      </c>
      <c r="I39" s="77">
        <v>193013.75</v>
      </c>
      <c r="J39" s="75">
        <v>8977</v>
      </c>
      <c r="K39" s="75">
        <v>1809689.3335620519</v>
      </c>
      <c r="L39" s="77">
        <v>1520324.3335620519</v>
      </c>
      <c r="M39" s="534">
        <v>73.25</v>
      </c>
      <c r="N39" s="628">
        <v>-2.4166666666666572</v>
      </c>
      <c r="O39" s="15"/>
      <c r="P39" s="15"/>
      <c r="Q39" s="15"/>
      <c r="R39" s="15"/>
      <c r="S39" s="15"/>
      <c r="T39" s="15"/>
      <c r="U39" s="15"/>
      <c r="V39" s="15"/>
      <c r="W39" s="15"/>
      <c r="X39" s="15"/>
      <c r="Y39" s="15"/>
      <c r="Z39" s="15"/>
      <c r="AA39" s="15"/>
      <c r="AB39" s="15"/>
    </row>
    <row r="40" spans="1:28" ht="13" x14ac:dyDescent="0.3">
      <c r="A40" s="74">
        <v>9257028</v>
      </c>
      <c r="B40" s="13" t="s">
        <v>70</v>
      </c>
      <c r="C40" s="537" t="s">
        <v>248</v>
      </c>
      <c r="D40" s="75">
        <v>420000</v>
      </c>
      <c r="E40" s="75">
        <v>120000</v>
      </c>
      <c r="F40" s="75"/>
      <c r="G40" s="75"/>
      <c r="H40" s="77">
        <v>1335301.3034477031</v>
      </c>
      <c r="I40" s="77">
        <v>23410.627062706269</v>
      </c>
      <c r="J40" s="75">
        <v>14363.2</v>
      </c>
      <c r="K40" s="75">
        <v>1913075.1305104094</v>
      </c>
      <c r="L40" s="77">
        <v>1913075.1305104094</v>
      </c>
      <c r="M40" s="534">
        <v>112.16666666666667</v>
      </c>
      <c r="N40" s="628">
        <v>17.750000000000014</v>
      </c>
      <c r="O40" s="15"/>
      <c r="P40" s="15"/>
      <c r="Q40" s="15"/>
      <c r="R40" s="15"/>
      <c r="S40" s="15"/>
      <c r="T40" s="15"/>
      <c r="U40" s="65"/>
      <c r="V40" s="64"/>
      <c r="W40" s="64"/>
      <c r="X40" s="64"/>
      <c r="Y40" s="64"/>
      <c r="Z40" s="15"/>
      <c r="AA40" s="15"/>
      <c r="AB40" s="64"/>
    </row>
    <row r="41" spans="1:28" ht="13" x14ac:dyDescent="0.3">
      <c r="A41" s="74">
        <v>9257021</v>
      </c>
      <c r="B41" s="13" t="s">
        <v>263</v>
      </c>
      <c r="C41" s="536" t="s">
        <v>249</v>
      </c>
      <c r="D41" s="75">
        <v>455000</v>
      </c>
      <c r="E41" s="75">
        <v>130000</v>
      </c>
      <c r="F41" s="75"/>
      <c r="G41" s="75"/>
      <c r="H41" s="77">
        <v>1579584.5197189793</v>
      </c>
      <c r="I41" s="77">
        <v>35038.269817073175</v>
      </c>
      <c r="J41" s="75">
        <v>25584.45</v>
      </c>
      <c r="K41" s="75">
        <v>2225207.239536053</v>
      </c>
      <c r="L41" s="77">
        <v>2225207.239536053</v>
      </c>
      <c r="M41" s="534">
        <v>167.75</v>
      </c>
      <c r="N41" s="628">
        <v>6.5</v>
      </c>
      <c r="O41" s="15"/>
      <c r="P41" s="15"/>
      <c r="Q41" s="15"/>
      <c r="R41" s="15"/>
      <c r="S41" s="15"/>
      <c r="T41" s="15"/>
      <c r="U41" s="65"/>
      <c r="V41" s="64"/>
      <c r="W41" s="64"/>
      <c r="X41" s="64"/>
      <c r="Y41" s="64"/>
      <c r="Z41" s="15"/>
      <c r="AA41" s="15"/>
      <c r="AB41" s="64"/>
    </row>
    <row r="42" spans="1:28" ht="13" x14ac:dyDescent="0.3">
      <c r="A42" s="74">
        <v>9257015</v>
      </c>
      <c r="B42" s="13" t="s">
        <v>72</v>
      </c>
      <c r="C42" s="536" t="s">
        <v>251</v>
      </c>
      <c r="D42" s="75">
        <v>525000</v>
      </c>
      <c r="E42" s="75">
        <v>145000</v>
      </c>
      <c r="F42" s="75"/>
      <c r="G42" s="75"/>
      <c r="H42" s="77">
        <v>2148810.2146396968</v>
      </c>
      <c r="I42" s="77">
        <v>10637.160766961651</v>
      </c>
      <c r="J42" s="75">
        <v>21544.800000000003</v>
      </c>
      <c r="K42" s="75">
        <v>2850992.1754066581</v>
      </c>
      <c r="L42" s="77">
        <v>2850992.1754066581</v>
      </c>
      <c r="M42" s="534">
        <v>228.08333333333334</v>
      </c>
      <c r="N42" s="628">
        <v>-1.5833333333333428</v>
      </c>
      <c r="O42" s="15"/>
      <c r="P42" s="15"/>
      <c r="Q42" s="15"/>
      <c r="R42" s="15"/>
      <c r="S42" s="15"/>
      <c r="T42" s="15"/>
      <c r="U42" s="65"/>
      <c r="V42" s="64"/>
      <c r="W42" s="64"/>
      <c r="X42" s="64"/>
      <c r="Y42" s="64"/>
      <c r="Z42" s="15"/>
      <c r="AA42" s="15"/>
      <c r="AB42" s="64"/>
    </row>
    <row r="43" spans="1:28" ht="13" x14ac:dyDescent="0.3">
      <c r="A43" s="74">
        <v>9257016</v>
      </c>
      <c r="B43" s="13" t="s">
        <v>73</v>
      </c>
      <c r="C43" s="74" t="s">
        <v>251</v>
      </c>
      <c r="D43" s="75">
        <v>525000</v>
      </c>
      <c r="E43" s="75">
        <v>145000</v>
      </c>
      <c r="F43" s="75"/>
      <c r="G43" s="75"/>
      <c r="H43" s="77">
        <v>2256437.5442380505</v>
      </c>
      <c r="I43" s="77">
        <v>2652.7303312629401</v>
      </c>
      <c r="J43" s="75">
        <v>21544.800000000003</v>
      </c>
      <c r="K43" s="75">
        <v>2950635.0745693133</v>
      </c>
      <c r="L43" s="77">
        <v>2950635.0745693133</v>
      </c>
      <c r="M43" s="534">
        <v>162.08333333333334</v>
      </c>
      <c r="N43" s="628">
        <v>2.6666666666666572</v>
      </c>
      <c r="O43" s="15"/>
      <c r="P43" s="15"/>
      <c r="Q43" s="15"/>
      <c r="R43" s="15"/>
      <c r="S43" s="15"/>
      <c r="T43" s="15"/>
      <c r="U43" s="65"/>
      <c r="V43" s="64"/>
      <c r="W43" s="64"/>
      <c r="X43" s="64"/>
      <c r="Y43" s="64"/>
      <c r="Z43" s="15"/>
      <c r="AA43" s="15"/>
      <c r="AB43" s="64"/>
    </row>
    <row r="44" spans="1:28" ht="13" x14ac:dyDescent="0.3">
      <c r="A44" s="15"/>
      <c r="B44" s="15"/>
      <c r="C44" s="15"/>
      <c r="D44" s="20">
        <v>7087500</v>
      </c>
      <c r="E44" s="20">
        <v>2005000</v>
      </c>
      <c r="F44" s="64"/>
      <c r="G44" s="64"/>
      <c r="H44" s="20">
        <v>21408404.625897162</v>
      </c>
      <c r="I44" s="20">
        <v>1135022.1167520436</v>
      </c>
      <c r="J44" s="20">
        <v>289508.25</v>
      </c>
      <c r="K44" s="64"/>
      <c r="L44" s="15"/>
      <c r="M44" s="361">
        <v>1988.5</v>
      </c>
      <c r="N44" s="15"/>
      <c r="O44" s="15"/>
      <c r="P44" s="15"/>
      <c r="Q44" s="15"/>
      <c r="R44" s="15"/>
      <c r="S44" s="15"/>
      <c r="T44" s="15"/>
      <c r="U44" s="65"/>
      <c r="V44" s="64"/>
      <c r="W44" s="64"/>
      <c r="X44" s="64"/>
      <c r="Y44" s="64"/>
      <c r="Z44" s="15"/>
      <c r="AA44" s="15"/>
      <c r="AB44" s="64"/>
    </row>
    <row r="46" spans="1:28" x14ac:dyDescent="0.25">
      <c r="A46" s="15"/>
      <c r="B46" s="104"/>
      <c r="C46" s="15"/>
      <c r="D46" s="65"/>
      <c r="E46" s="65"/>
      <c r="F46" s="64"/>
      <c r="G46" s="64"/>
      <c r="H46" s="15"/>
      <c r="I46" s="630">
        <v>9257010</v>
      </c>
      <c r="J46" s="67" t="s">
        <v>333</v>
      </c>
      <c r="K46" s="68"/>
      <c r="L46" s="75">
        <v>329168.04181189975</v>
      </c>
      <c r="M46" s="64"/>
      <c r="N46" s="631">
        <v>0.19049441603641465</v>
      </c>
      <c r="O46" s="15"/>
      <c r="P46" s="15"/>
      <c r="Q46" s="15"/>
      <c r="R46" s="15"/>
      <c r="S46" s="15"/>
      <c r="T46" s="15"/>
      <c r="U46" s="65"/>
      <c r="V46" s="64"/>
      <c r="W46" s="64"/>
      <c r="X46" s="64"/>
      <c r="Y46" s="64"/>
      <c r="Z46" s="15"/>
      <c r="AA46" s="15"/>
      <c r="AB46" s="64"/>
    </row>
    <row r="47" spans="1:28" x14ac:dyDescent="0.25">
      <c r="A47" s="15"/>
      <c r="B47" s="15"/>
      <c r="C47" s="15"/>
      <c r="D47" s="65"/>
      <c r="E47" s="65"/>
      <c r="F47" s="64"/>
      <c r="G47" s="64"/>
      <c r="H47" s="15"/>
      <c r="I47" s="630">
        <v>9257005</v>
      </c>
      <c r="J47" s="67" t="s">
        <v>259</v>
      </c>
      <c r="K47" s="68"/>
      <c r="L47" s="75">
        <v>173175.01084285206</v>
      </c>
      <c r="M47" s="64"/>
      <c r="N47" s="631">
        <v>0.11580182529112205</v>
      </c>
      <c r="O47" s="15"/>
      <c r="P47" s="15"/>
      <c r="Q47" s="15"/>
      <c r="R47" s="15"/>
      <c r="S47" s="15"/>
      <c r="T47" s="15"/>
      <c r="U47" s="65"/>
      <c r="V47" s="64"/>
      <c r="W47" s="64"/>
      <c r="X47" s="64"/>
      <c r="Y47" s="64"/>
      <c r="Z47" s="15"/>
      <c r="AA47" s="15"/>
      <c r="AB47" s="64"/>
    </row>
    <row r="48" spans="1:28" x14ac:dyDescent="0.25">
      <c r="A48" s="15"/>
      <c r="B48" s="15"/>
      <c r="C48" s="15"/>
      <c r="D48" s="65"/>
      <c r="E48" s="65"/>
      <c r="F48" s="65"/>
      <c r="G48" s="64"/>
      <c r="H48" s="15"/>
      <c r="I48" s="630">
        <v>9257025</v>
      </c>
      <c r="J48" s="67" t="s">
        <v>260</v>
      </c>
      <c r="K48" s="68"/>
      <c r="L48" s="75">
        <v>106913.64299139753</v>
      </c>
      <c r="M48" s="64"/>
      <c r="N48" s="631">
        <v>7.9491755771388589E-2</v>
      </c>
      <c r="O48" s="15"/>
      <c r="P48" s="15"/>
      <c r="Q48" s="15"/>
      <c r="R48" s="15"/>
      <c r="S48" s="15"/>
      <c r="T48" s="15"/>
      <c r="U48" s="65"/>
      <c r="V48" s="64"/>
      <c r="W48" s="64"/>
      <c r="X48" s="64"/>
      <c r="Y48" s="64"/>
      <c r="Z48" s="15"/>
      <c r="AA48" s="15"/>
      <c r="AB48" s="64"/>
    </row>
    <row r="49" spans="4:14" x14ac:dyDescent="0.25">
      <c r="D49" s="65"/>
      <c r="E49" s="65"/>
      <c r="F49" s="64"/>
      <c r="G49" s="64"/>
      <c r="H49" s="15"/>
      <c r="I49" s="630">
        <v>9257024</v>
      </c>
      <c r="J49" s="67" t="s">
        <v>261</v>
      </c>
      <c r="K49" s="68"/>
      <c r="L49" s="75">
        <v>33399.028266534442</v>
      </c>
      <c r="M49" s="64"/>
      <c r="N49" s="631">
        <v>2.2780641117810488E-2</v>
      </c>
    </row>
    <row r="50" spans="4:14" ht="13" x14ac:dyDescent="0.3">
      <c r="D50" s="65"/>
      <c r="E50" s="65"/>
      <c r="F50" s="64"/>
      <c r="G50" s="64"/>
      <c r="H50" s="15"/>
      <c r="I50" s="630">
        <v>9257031</v>
      </c>
      <c r="J50" s="13" t="s">
        <v>169</v>
      </c>
      <c r="K50" s="68"/>
      <c r="L50" s="75">
        <v>74935.66018702765</v>
      </c>
      <c r="M50" s="64"/>
      <c r="N50" s="631">
        <v>4.5410034494679501E-2</v>
      </c>
    </row>
    <row r="51" spans="4:14" x14ac:dyDescent="0.25">
      <c r="D51" s="65"/>
      <c r="E51" s="65"/>
      <c r="F51" s="64"/>
      <c r="G51" s="64"/>
      <c r="H51" s="15"/>
      <c r="I51" s="630">
        <v>9257033</v>
      </c>
      <c r="J51" s="67" t="s">
        <v>269</v>
      </c>
      <c r="K51" s="68"/>
      <c r="L51" s="75">
        <v>93487.837689838139</v>
      </c>
      <c r="M51" s="64"/>
      <c r="N51" s="631">
        <v>6.540867546143761E-2</v>
      </c>
    </row>
    <row r="52" spans="4:14" x14ac:dyDescent="0.25">
      <c r="D52" s="65"/>
      <c r="E52" s="65"/>
      <c r="F52" s="64"/>
      <c r="G52" s="64"/>
      <c r="H52" s="15"/>
      <c r="I52" s="630">
        <v>9257008</v>
      </c>
      <c r="J52" s="67" t="s">
        <v>126</v>
      </c>
      <c r="K52" s="68"/>
      <c r="L52" s="75">
        <v>8935.7023742669262</v>
      </c>
      <c r="M52" s="64"/>
      <c r="N52" s="631">
        <v>6.1177484899254788E-3</v>
      </c>
    </row>
    <row r="53" spans="4:14" x14ac:dyDescent="0.25">
      <c r="D53" s="65"/>
      <c r="E53" s="65"/>
      <c r="F53" s="64"/>
      <c r="G53" s="64"/>
      <c r="H53" s="15"/>
      <c r="I53" s="630">
        <v>9257034</v>
      </c>
      <c r="J53" s="67" t="s">
        <v>270</v>
      </c>
      <c r="K53" s="68"/>
      <c r="L53" s="75">
        <v>12457.821273063542</v>
      </c>
      <c r="M53" s="64"/>
      <c r="N53" s="631">
        <v>7.506093689448259E-3</v>
      </c>
    </row>
    <row r="54" spans="4:14" x14ac:dyDescent="0.25">
      <c r="D54" s="65"/>
      <c r="E54" s="65"/>
      <c r="F54" s="64"/>
      <c r="G54" s="64"/>
      <c r="H54" s="15"/>
      <c r="I54" s="630">
        <v>9257002</v>
      </c>
      <c r="J54" s="67" t="s">
        <v>262</v>
      </c>
      <c r="K54" s="68"/>
      <c r="L54" s="75">
        <v>157499.29693057388</v>
      </c>
      <c r="M54" s="64"/>
      <c r="N54" s="631">
        <v>8.1430833872852645E-2</v>
      </c>
    </row>
    <row r="55" spans="4:14" x14ac:dyDescent="0.25">
      <c r="D55" s="65"/>
      <c r="E55" s="65"/>
      <c r="F55" s="64"/>
      <c r="G55" s="64"/>
      <c r="H55" s="15"/>
      <c r="I55" s="630">
        <v>9257009</v>
      </c>
      <c r="J55" s="67" t="s">
        <v>160</v>
      </c>
      <c r="K55" s="68"/>
      <c r="L55" s="75">
        <v>1053661.8779120734</v>
      </c>
      <c r="M55" s="64"/>
      <c r="N55" s="631">
        <v>0.61537753321482902</v>
      </c>
    </row>
    <row r="56" spans="4:14" ht="13" x14ac:dyDescent="0.3">
      <c r="D56" s="65"/>
      <c r="E56" s="65"/>
      <c r="F56" s="64"/>
      <c r="G56" s="64"/>
      <c r="H56" s="15"/>
      <c r="I56" s="630">
        <v>9257029</v>
      </c>
      <c r="J56" s="13" t="s">
        <v>278</v>
      </c>
      <c r="K56" s="68"/>
      <c r="L56" s="75">
        <v>131973.61278720084</v>
      </c>
      <c r="M56" s="64"/>
      <c r="N56" s="631">
        <v>8.555894499516796E-2</v>
      </c>
    </row>
    <row r="57" spans="4:14" ht="13" x14ac:dyDescent="0.3">
      <c r="D57" s="65"/>
      <c r="E57" s="65"/>
      <c r="F57" s="64"/>
      <c r="G57" s="64"/>
      <c r="H57" s="15"/>
      <c r="I57" s="630">
        <v>9257032</v>
      </c>
      <c r="J57" s="13" t="s">
        <v>266</v>
      </c>
      <c r="K57" s="68"/>
      <c r="L57" s="75">
        <v>217822.28612768929</v>
      </c>
      <c r="M57" s="64"/>
      <c r="N57" s="631">
        <v>0.11788215989652076</v>
      </c>
    </row>
    <row r="58" spans="4:14" ht="13" x14ac:dyDescent="0.3">
      <c r="D58" s="65"/>
      <c r="E58" s="65"/>
      <c r="F58" s="64"/>
      <c r="G58" s="64"/>
      <c r="H58" s="15"/>
      <c r="I58" s="630">
        <v>9257030</v>
      </c>
      <c r="J58" s="13" t="s">
        <v>268</v>
      </c>
      <c r="K58" s="68"/>
      <c r="L58" s="75">
        <v>38420.155229457654</v>
      </c>
      <c r="M58" s="64"/>
      <c r="N58" s="631">
        <v>2.5271025649797337E-2</v>
      </c>
    </row>
    <row r="59" spans="4:14" x14ac:dyDescent="0.25">
      <c r="D59" s="65"/>
      <c r="E59" s="65"/>
      <c r="F59" s="64"/>
      <c r="G59" s="64"/>
      <c r="H59" s="15"/>
      <c r="I59" s="630">
        <v>9257028</v>
      </c>
      <c r="J59" s="67" t="s">
        <v>70</v>
      </c>
      <c r="K59" s="68"/>
      <c r="L59" s="75">
        <v>330578.40214362647</v>
      </c>
      <c r="M59" s="64"/>
      <c r="N59" s="631">
        <v>0.17279948752218005</v>
      </c>
    </row>
    <row r="60" spans="4:14" x14ac:dyDescent="0.25">
      <c r="D60" s="65"/>
      <c r="E60" s="65"/>
      <c r="F60" s="64"/>
      <c r="G60" s="64"/>
      <c r="H60" s="15"/>
      <c r="I60" s="630">
        <v>9257021</v>
      </c>
      <c r="J60" s="67" t="s">
        <v>263</v>
      </c>
      <c r="K60" s="68"/>
      <c r="L60" s="75">
        <v>117795.60851847148</v>
      </c>
      <c r="M60" s="64"/>
      <c r="N60" s="631">
        <v>5.2936915908574605E-2</v>
      </c>
    </row>
    <row r="61" spans="4:14" x14ac:dyDescent="0.25">
      <c r="D61" s="65"/>
      <c r="E61" s="65"/>
      <c r="F61" s="64"/>
      <c r="G61" s="64"/>
      <c r="H61" s="15"/>
      <c r="I61" s="630">
        <v>9257015</v>
      </c>
      <c r="J61" s="67" t="s">
        <v>72</v>
      </c>
      <c r="K61" s="68"/>
      <c r="L61" s="75">
        <v>156772.69748178357</v>
      </c>
      <c r="M61" s="64"/>
      <c r="N61" s="631">
        <v>5.4988820675883447E-2</v>
      </c>
    </row>
    <row r="62" spans="4:14" x14ac:dyDescent="0.25">
      <c r="D62" s="65"/>
      <c r="E62" s="65"/>
      <c r="F62" s="64"/>
      <c r="G62" s="64"/>
      <c r="H62" s="15"/>
      <c r="I62" s="630">
        <v>9257016</v>
      </c>
      <c r="J62" s="67" t="s">
        <v>73</v>
      </c>
      <c r="K62" s="68"/>
      <c r="L62" s="75">
        <v>184506.72947839834</v>
      </c>
      <c r="M62" s="64"/>
      <c r="N62" s="631">
        <v>6.253119237570566E-2</v>
      </c>
    </row>
    <row r="63" spans="4:14" x14ac:dyDescent="0.25">
      <c r="D63" s="64"/>
      <c r="E63" s="64"/>
      <c r="F63" s="64"/>
      <c r="G63" s="64"/>
      <c r="H63" s="15"/>
      <c r="I63" s="15"/>
      <c r="J63" s="67"/>
      <c r="K63" s="68"/>
      <c r="L63" s="67"/>
      <c r="M63" s="64"/>
      <c r="N63" s="15"/>
    </row>
    <row r="64" spans="4:14" x14ac:dyDescent="0.25">
      <c r="D64" s="64"/>
      <c r="E64" s="64"/>
      <c r="F64" s="64"/>
      <c r="G64" s="64"/>
      <c r="H64" s="15"/>
      <c r="I64" s="15"/>
      <c r="J64" s="67"/>
      <c r="K64" s="68"/>
      <c r="L64" s="75">
        <v>3221503.412046155</v>
      </c>
      <c r="M64" s="64"/>
      <c r="N64" s="76"/>
    </row>
  </sheetData>
  <conditionalFormatting sqref="C4">
    <cfRule type="cellIs" dxfId="33" priority="18" operator="equal">
      <formula>$C$26</formula>
    </cfRule>
    <cfRule type="cellIs" dxfId="32" priority="26" operator="equal">
      <formula>$C$26</formula>
    </cfRule>
  </conditionalFormatting>
  <conditionalFormatting sqref="C5">
    <cfRule type="cellIs" dxfId="31" priority="17" operator="equal">
      <formula>$C$27</formula>
    </cfRule>
    <cfRule type="cellIs" dxfId="30" priority="25" operator="equal">
      <formula>$C$27</formula>
    </cfRule>
  </conditionalFormatting>
  <conditionalFormatting sqref="C6">
    <cfRule type="cellIs" dxfId="29" priority="16" operator="equal">
      <formula>$C$28</formula>
    </cfRule>
    <cfRule type="cellIs" dxfId="28" priority="24" operator="equal">
      <formula>$C$28</formula>
    </cfRule>
  </conditionalFormatting>
  <conditionalFormatting sqref="C7">
    <cfRule type="cellIs" dxfId="27" priority="14" operator="equal">
      <formula>$C$30</formula>
    </cfRule>
  </conditionalFormatting>
  <conditionalFormatting sqref="C8">
    <cfRule type="cellIs" dxfId="26" priority="13" operator="equal">
      <formula>$C$31</formula>
    </cfRule>
  </conditionalFormatting>
  <conditionalFormatting sqref="C9">
    <cfRule type="cellIs" dxfId="25" priority="12" operator="equal">
      <formula>$C$32</formula>
    </cfRule>
  </conditionalFormatting>
  <conditionalFormatting sqref="C10">
    <cfRule type="cellIs" dxfId="24" priority="11" operator="equal">
      <formula>$C$33</formula>
    </cfRule>
  </conditionalFormatting>
  <conditionalFormatting sqref="C11">
    <cfRule type="cellIs" dxfId="23" priority="10" operator="equal">
      <formula>$C$34</formula>
    </cfRule>
  </conditionalFormatting>
  <conditionalFormatting sqref="C12">
    <cfRule type="cellIs" dxfId="22" priority="9" operator="equal">
      <formula>$C$35</formula>
    </cfRule>
  </conditionalFormatting>
  <conditionalFormatting sqref="C13">
    <cfRule type="cellIs" dxfId="21" priority="8" operator="equal">
      <formula>$C$36</formula>
    </cfRule>
  </conditionalFormatting>
  <conditionalFormatting sqref="C14">
    <cfRule type="cellIs" dxfId="20" priority="7" operator="equal">
      <formula>$C$37</formula>
    </cfRule>
  </conditionalFormatting>
  <conditionalFormatting sqref="C15">
    <cfRule type="cellIs" dxfId="19" priority="6" operator="equal">
      <formula>$C$38</formula>
    </cfRule>
  </conditionalFormatting>
  <conditionalFormatting sqref="C16">
    <cfRule type="cellIs" dxfId="18" priority="5" operator="equal">
      <formula>$C$39</formula>
    </cfRule>
  </conditionalFormatting>
  <conditionalFormatting sqref="C17">
    <cfRule type="cellIs" dxfId="17" priority="4" operator="equal">
      <formula>$C$40</formula>
    </cfRule>
  </conditionalFormatting>
  <conditionalFormatting sqref="C18">
    <cfRule type="cellIs" dxfId="16" priority="3" operator="equal">
      <formula>$C$41</formula>
    </cfRule>
  </conditionalFormatting>
  <conditionalFormatting sqref="C19">
    <cfRule type="cellIs" dxfId="15" priority="2" operator="equal">
      <formula>$C$42</formula>
    </cfRule>
  </conditionalFormatting>
  <conditionalFormatting sqref="C20">
    <cfRule type="cellIs" dxfId="14" priority="1" operator="equal">
      <formula>$C$43</formula>
    </cfRule>
  </conditionalFormatting>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0A81-57DA-4915-962A-9D1F48B1E03C}">
  <sheetPr>
    <tabColor theme="8" tint="0.39997558519241921"/>
  </sheetPr>
  <dimension ref="A1:AH74"/>
  <sheetViews>
    <sheetView workbookViewId="0">
      <selection activeCell="Q22" sqref="Q22"/>
    </sheetView>
  </sheetViews>
  <sheetFormatPr defaultColWidth="10.26953125" defaultRowHeight="12.5" x14ac:dyDescent="0.25"/>
  <cols>
    <col min="1" max="1" width="10.26953125" style="10"/>
    <col min="2" max="2" width="31.54296875" style="10" customWidth="1"/>
    <col min="3" max="3" width="26.54296875" style="10" customWidth="1"/>
    <col min="4" max="7" width="15.7265625" style="11" customWidth="1"/>
    <col min="8" max="10" width="15.7265625" style="10" customWidth="1"/>
    <col min="11" max="11" width="15.7265625" style="11" customWidth="1"/>
    <col min="12" max="12" width="17.26953125" style="10" customWidth="1"/>
    <col min="13" max="13" width="10.26953125" style="11" customWidth="1"/>
    <col min="14" max="16" width="13.81640625" style="10" customWidth="1"/>
    <col min="17" max="17" width="10.26953125" style="10"/>
    <col min="18" max="19" width="11.1796875" style="10" customWidth="1"/>
    <col min="20" max="20" width="10.26953125" style="10"/>
    <col min="21" max="21" width="10.26953125" style="12"/>
    <col min="22" max="24" width="11.81640625" style="11" customWidth="1"/>
    <col min="25" max="25" width="10.26953125" style="11"/>
    <col min="26" max="26" width="11.1796875" style="10" customWidth="1"/>
    <col min="27" max="27" width="11.26953125" style="10" customWidth="1"/>
    <col min="28" max="28" width="9.81640625" style="11" bestFit="1" customWidth="1"/>
    <col min="29" max="29" width="10.26953125" style="10"/>
    <col min="30" max="32" width="14.453125" style="10" bestFit="1" customWidth="1"/>
    <col min="33" max="16384" width="10.26953125" style="10"/>
  </cols>
  <sheetData>
    <row r="1" spans="1:34" ht="17.5" x14ac:dyDescent="0.35">
      <c r="A1" s="15"/>
      <c r="B1" s="14" t="s">
        <v>337</v>
      </c>
      <c r="C1" s="15"/>
      <c r="D1" s="64"/>
      <c r="E1" s="64"/>
      <c r="F1" s="64"/>
      <c r="G1" s="64"/>
      <c r="H1" s="15"/>
      <c r="I1" s="15"/>
      <c r="J1" s="15"/>
      <c r="K1" s="64"/>
      <c r="L1" s="15"/>
      <c r="M1" s="64"/>
      <c r="N1" s="15"/>
      <c r="O1" s="15"/>
      <c r="P1" s="15"/>
      <c r="Q1" s="15"/>
      <c r="R1" s="15" t="s">
        <v>320</v>
      </c>
      <c r="S1" s="15"/>
      <c r="T1" s="15"/>
      <c r="U1" s="65"/>
      <c r="V1" s="64"/>
      <c r="W1" s="64"/>
      <c r="X1" s="64"/>
      <c r="Y1" s="64"/>
      <c r="Z1" s="15"/>
      <c r="AA1" s="15"/>
      <c r="AB1" s="64"/>
      <c r="AC1" s="15"/>
      <c r="AD1" s="15"/>
      <c r="AE1" s="15"/>
      <c r="AF1" s="15"/>
      <c r="AG1" s="15"/>
      <c r="AH1" s="15"/>
    </row>
    <row r="2" spans="1:34" ht="12.75" customHeight="1" x14ac:dyDescent="0.25">
      <c r="A2" s="15"/>
      <c r="B2" s="15"/>
      <c r="C2" s="15"/>
      <c r="D2" s="64"/>
      <c r="E2" s="64"/>
      <c r="F2" s="64"/>
      <c r="G2" s="64"/>
      <c r="H2" s="15"/>
      <c r="I2" s="15"/>
      <c r="J2" s="15"/>
      <c r="K2" s="64"/>
      <c r="L2" s="15"/>
      <c r="M2" s="64"/>
      <c r="N2" s="15"/>
      <c r="O2" s="15"/>
      <c r="P2" s="15"/>
      <c r="Q2" s="15"/>
      <c r="R2" s="15"/>
      <c r="S2" s="15"/>
      <c r="T2" s="15"/>
      <c r="U2" s="65"/>
      <c r="V2" s="64"/>
      <c r="W2" s="64"/>
      <c r="X2" s="64"/>
      <c r="Y2" s="64"/>
      <c r="Z2" s="15"/>
      <c r="AA2" s="15"/>
      <c r="AB2" s="64"/>
      <c r="AC2" s="15"/>
      <c r="AD2" s="15"/>
      <c r="AE2" s="15"/>
      <c r="AF2" s="15"/>
      <c r="AG2" s="15"/>
      <c r="AH2" s="15"/>
    </row>
    <row r="3" spans="1:34" ht="39" customHeight="1" x14ac:dyDescent="0.3">
      <c r="A3" s="66" t="s">
        <v>48</v>
      </c>
      <c r="B3" s="67" t="s">
        <v>49</v>
      </c>
      <c r="C3" s="71" t="s">
        <v>322</v>
      </c>
      <c r="D3" s="70" t="s">
        <v>13</v>
      </c>
      <c r="E3" s="70" t="s">
        <v>14</v>
      </c>
      <c r="F3" s="68" t="s">
        <v>43</v>
      </c>
      <c r="G3" s="68" t="s">
        <v>51</v>
      </c>
      <c r="H3" s="71" t="s">
        <v>52</v>
      </c>
      <c r="I3" s="71" t="s">
        <v>323</v>
      </c>
      <c r="J3" s="71" t="s">
        <v>53</v>
      </c>
      <c r="K3" s="68" t="s">
        <v>54</v>
      </c>
      <c r="L3" s="71" t="s">
        <v>55</v>
      </c>
      <c r="M3" s="71" t="s">
        <v>338</v>
      </c>
      <c r="N3" s="371" t="s">
        <v>235</v>
      </c>
      <c r="O3" s="372" t="s">
        <v>339</v>
      </c>
      <c r="P3" s="373" t="s">
        <v>277</v>
      </c>
      <c r="Q3" s="111" t="s">
        <v>217</v>
      </c>
      <c r="R3" s="111" t="s">
        <v>326</v>
      </c>
      <c r="S3" s="111" t="s">
        <v>218</v>
      </c>
      <c r="T3" s="111" t="s">
        <v>219</v>
      </c>
      <c r="U3" s="71" t="s">
        <v>56</v>
      </c>
      <c r="V3" s="72" t="s">
        <v>57</v>
      </c>
      <c r="W3" s="577" t="s">
        <v>327</v>
      </c>
      <c r="X3" s="577" t="s">
        <v>328</v>
      </c>
      <c r="Y3" s="578" t="s">
        <v>58</v>
      </c>
      <c r="Z3" s="578" t="s">
        <v>119</v>
      </c>
      <c r="AA3" s="72" t="s">
        <v>59</v>
      </c>
      <c r="AB3" s="71" t="s">
        <v>329</v>
      </c>
      <c r="AC3" s="15"/>
      <c r="AD3" s="73"/>
      <c r="AE3" s="73"/>
      <c r="AF3" s="90"/>
      <c r="AG3" s="15"/>
      <c r="AH3" s="73"/>
    </row>
    <row r="4" spans="1:34" x14ac:dyDescent="0.25">
      <c r="A4" s="74">
        <v>9257010</v>
      </c>
      <c r="B4" s="67" t="s">
        <v>333</v>
      </c>
      <c r="C4" s="652" t="str">
        <f>IF(H4&lt;'2324 School Size Ranges'!$E$4,'2324 School Size Ranges'!$D$4,IF(H4&lt;'2324 School Size Ranges'!$E$5,'2324 School Size Ranges'!$D$5,IF('2324 Funding Detail'!H4&lt;'2324 School Size Ranges'!$E$6,'2324 School Size Ranges'!$D$6,IF(H4&lt;'2324 School Size Ranges'!$E$7,'2324 School Size Ranges'!$D$7,IF(H4&lt;'2324 School Size Ranges'!$E$8,'2324 School Size Ranges'!$D$8,IF(H4&lt;'2324 School Size Ranges'!$E$9,'2324 School Size Ranges'!$D$9,IF(H4&lt;'2324 School Size Ranges'!$E$10,'2324 School Size Ranges'!$D$10,IF(H4&lt;'2324 School Size Ranges'!$E$11,'2324 School Size Ranges'!$D$11,IF(H4&lt;'2324 School Size Ranges'!$E$12,'2324 School Size Ranges'!$D$12,IF(H4&lt;'2324 School Size Ranges'!$E$13,'2324 School Size Ranges'!$D$13,IF(H4&lt;'2324 School Size Ranges'!$E$14,'2324 School Size Ranges'!$D$14)))))))))))</f>
        <v>School Size 5 Transition Point</v>
      </c>
      <c r="D4" s="75">
        <f>IF(H4&lt;'2324 School Size Ranges'!$E$4,'2324 School Size Ranges'!$H$4,IF(H4&lt;'2324 School Size Ranges'!$E$5,'2324 School Size Ranges'!$H$5,IF('2324 Funding Detail'!H4&lt;'2324 School Size Ranges'!$E$6,'2324 School Size Ranges'!$H$6,IF(H4&lt;'2324 School Size Ranges'!$E$7,'2324 School Size Ranges'!$H$7,IF(H4&lt;'2324 School Size Ranges'!$E$8,'2324 School Size Ranges'!$H$8,IF(H4&lt;'2324 School Size Ranges'!$E$9,'2324 School Size Ranges'!$H$9,IF(H4&lt;'2324 School Size Ranges'!$E$10,'2324 School Size Ranges'!$H$10,IF(H4&lt;'2324 School Size Ranges'!$E$11,'2324 School Size Ranges'!$H$11,IF(H4&lt;'2324 School Size Ranges'!$E$12,'2324 School Size Ranges'!$H$12,IF(H4&lt;'2324 School Size Ranges'!$E$13,'2324 School Size Ranges'!$H$13,IF(H4&lt;'2324 School Size Ranges'!$E$14,'2324 School Size Ranges'!$H$14)))))))))))</f>
        <v>522601.4</v>
      </c>
      <c r="E4" s="75">
        <f>IF(H4&lt;'2324 School Size Ranges'!$E$4,'2324 School Size Ranges'!$I$4,IF(H4&lt;'2324 School Size Ranges'!$E$5,'2324 School Size Ranges'!$I$5,IF('2324 Funding Detail'!H4&lt;'2324 School Size Ranges'!$E$6,'2324 School Size Ranges'!$I$6,IF(H4&lt;'2324 School Size Ranges'!$E$7,'2324 School Size Ranges'!$I$7,IF(H4&lt;'2324 School Size Ranges'!$E$8,'2324 School Size Ranges'!$I$8,IF(H4&lt;'2324 School Size Ranges'!$E$9,'2324 School Size Ranges'!$I$9,IF(H4&lt;'2324 School Size Ranges'!$E$10,'2324 School Size Ranges'!$I$10,IF(H4&lt;'2324 School Size Ranges'!$E$11,'2324 School Size Ranges'!$I$11,IF(H4&lt;'2324 School Size Ranges'!$E$12,'2324 School Size Ranges'!$I$12,IF(H4&lt;'2324 School Size Ranges'!$E$13,'2324 School Size Ranges'!$I$13,IF(H4&lt;'2324 School Size Ranges'!$E$14,'2324 School Size Ranges'!$I$14)))))))))))</f>
        <v>137917</v>
      </c>
      <c r="F4" s="75"/>
      <c r="G4" s="75"/>
      <c r="H4" s="77">
        <f>VLOOKUP(A4,'2324 Band Calculations'!$A$106:$T$122,10,FALSE)</f>
        <v>1677940.8366890382</v>
      </c>
      <c r="I4" s="77">
        <f>VLOOKUP(A4,'2324 Band Calculations'!$A$106:$T$122,17,FALSE)</f>
        <v>0</v>
      </c>
      <c r="J4" s="75">
        <f>VLOOKUP(A4,'2324 FSM Calculation'!$A$4:$D$20,4,FALSE)</f>
        <v>23073.599999999999</v>
      </c>
      <c r="K4" s="75">
        <f t="shared" ref="K4:K20" si="0">SUM(D4:J4)</f>
        <v>2361532.8366890382</v>
      </c>
      <c r="L4" s="77">
        <f>K4-F4-G4</f>
        <v>2361532.8366890382</v>
      </c>
      <c r="M4" s="534">
        <f>VLOOKUP(A4,'2324 Band Calculations'!$A$106:$T$122,19,FALSE)</f>
        <v>139.33333333333334</v>
      </c>
      <c r="N4" s="65">
        <f>VLOOKUP(A4,'2324 Band Calculations'!$A$104:$AN$122,40,(FALSE))</f>
        <v>273871.35570469795</v>
      </c>
      <c r="O4" s="81">
        <f>M4-(M4*(VLOOKUP(A4,'2324 Band Calculations'!$A$6:$J$22,10,(FALSE))))</f>
        <v>128.11185682326624</v>
      </c>
      <c r="P4" s="65">
        <f>(H4+I4-N4)/O4</f>
        <v>10959.715328467153</v>
      </c>
      <c r="Q4" s="524">
        <f>'2324 MFG Protection'!L11</f>
        <v>2325.8415308553208</v>
      </c>
      <c r="R4" s="524">
        <f>L4+Q4</f>
        <v>2363858.6782198935</v>
      </c>
      <c r="S4" s="65">
        <f>M4*10000</f>
        <v>1393333.3333333335</v>
      </c>
      <c r="T4" s="65">
        <f>IF(S4&gt;R4,(S4-R4),(0))</f>
        <v>0</v>
      </c>
      <c r="U4" s="72">
        <f>R4/M4</f>
        <v>16965.492905884403</v>
      </c>
      <c r="V4" s="72">
        <f t="shared" ref="V4:V20" si="1">M4*10000</f>
        <v>1393333.3333333335</v>
      </c>
      <c r="W4" s="72"/>
      <c r="X4" s="72"/>
      <c r="Y4" s="72">
        <f>U4-10000</f>
        <v>6965.4929058844027</v>
      </c>
      <c r="Z4" s="75">
        <f>R4-V4</f>
        <v>970525.34488655999</v>
      </c>
      <c r="AA4" s="75">
        <f>V4+Z4</f>
        <v>2363858.6782198935</v>
      </c>
      <c r="AB4" s="75">
        <f>R4-AA4</f>
        <v>0</v>
      </c>
      <c r="AC4" s="15"/>
      <c r="AD4" s="65"/>
      <c r="AE4" s="65"/>
      <c r="AF4" s="65"/>
      <c r="AG4" s="535"/>
      <c r="AH4" s="76"/>
    </row>
    <row r="5" spans="1:34" x14ac:dyDescent="0.25">
      <c r="A5" s="74">
        <v>9257005</v>
      </c>
      <c r="B5" s="67" t="s">
        <v>259</v>
      </c>
      <c r="C5" s="653" t="str">
        <f>IF(H5&lt;'2324 School Size Ranges'!$E$4,'2324 School Size Ranges'!$D$4,IF(H5&lt;'2324 School Size Ranges'!$E$5,'2324 School Size Ranges'!$D$5,IF('2324 Funding Detail'!H5&lt;'2324 School Size Ranges'!$E$6,'2324 School Size Ranges'!$D$6,IF(H5&lt;'2324 School Size Ranges'!$E$7,'2324 School Size Ranges'!$D$7,IF(H5&lt;'2324 School Size Ranges'!$E$8,'2324 School Size Ranges'!$D$8,IF(H5&lt;'2324 School Size Ranges'!$E$9,'2324 School Size Ranges'!$D$9,IF(H5&lt;'2324 School Size Ranges'!$E$10,'2324 School Size Ranges'!$D$10,IF(H5&lt;'2324 School Size Ranges'!$E$11,'2324 School Size Ranges'!$D$11,IF(H5&lt;'2324 School Size Ranges'!$E$12,'2324 School Size Ranges'!$D$12,IF(H5&lt;'2324 School Size Ranges'!$E$13,'2324 School Size Ranges'!$D$13,IF(H5&lt;'2324 School Size Ranges'!$E$14,'2324 School Size Ranges'!$D$14)))))))))))</f>
        <v>School Size 4</v>
      </c>
      <c r="D5" s="75">
        <f>IF(H5&lt;'2324 School Size Ranges'!$E$4,'2324 School Size Ranges'!$H$4,IF(H5&lt;'2324 School Size Ranges'!$E$5,'2324 School Size Ranges'!$H$5,IF('2324 Funding Detail'!H5&lt;'2324 School Size Ranges'!$E$6,'2324 School Size Ranges'!$H$6,IF(H5&lt;'2324 School Size Ranges'!$E$7,'2324 School Size Ranges'!$H$7,IF(H5&lt;'2324 School Size Ranges'!$E$8,'2324 School Size Ranges'!$H$8,IF(H5&lt;'2324 School Size Ranges'!$E$9,'2324 School Size Ranges'!$H$9,IF(H5&lt;'2324 School Size Ranges'!$E$10,'2324 School Size Ranges'!$H$10,IF(H5&lt;'2324 School Size Ranges'!$E$11,'2324 School Size Ranges'!$H$11,IF(H5&lt;'2324 School Size Ranges'!$E$12,'2324 School Size Ranges'!$H$12,IF(H5&lt;'2324 School Size Ranges'!$E$13,'2324 School Size Ranges'!$H$13,IF(H5&lt;'2324 School Size Ranges'!$E$14,'2324 School Size Ranges'!$H$14)))))))))))</f>
        <v>399454.60000000003</v>
      </c>
      <c r="E5" s="75">
        <f>IF(H5&lt;'2324 School Size Ranges'!$E$4,'2324 School Size Ranges'!$I$4,IF(H5&lt;'2324 School Size Ranges'!$E$5,'2324 School Size Ranges'!$I$5,IF('2324 Funding Detail'!H5&lt;'2324 School Size Ranges'!$E$6,'2324 School Size Ranges'!$I$6,IF(H5&lt;'2324 School Size Ranges'!$E$7,'2324 School Size Ranges'!$I$7,IF(H5&lt;'2324 School Size Ranges'!$E$8,'2324 School Size Ranges'!$I$8,IF(H5&lt;'2324 School Size Ranges'!$E$9,'2324 School Size Ranges'!$I$9,IF(H5&lt;'2324 School Size Ranges'!$E$10,'2324 School Size Ranges'!$I$10,IF(H5&lt;'2324 School Size Ranges'!$E$11,'2324 School Size Ranges'!$I$11,IF(H5&lt;'2324 School Size Ranges'!$E$12,'2324 School Size Ranges'!$I$12,IF(H5&lt;'2324 School Size Ranges'!$E$13,'2324 School Size Ranges'!$I$13,IF(H5&lt;'2324 School Size Ranges'!$E$14,'2324 School Size Ranges'!$I$14)))))))))))</f>
        <v>116699</v>
      </c>
      <c r="F5" s="75"/>
      <c r="G5" s="75"/>
      <c r="H5" s="77">
        <f>VLOOKUP(A5,'2324 Band Calculations'!$A$106:$T$122,10,FALSE)</f>
        <v>1041177.809859155</v>
      </c>
      <c r="I5" s="77">
        <f>VLOOKUP(A5,'2324 Band Calculations'!$A$106:$T$122,17,FALSE)</f>
        <v>0</v>
      </c>
      <c r="J5" s="75">
        <f>VLOOKUP(A5,'2324 FSM Calculation'!$A$4:$D$20,4,FALSE)</f>
        <v>10575.4</v>
      </c>
      <c r="K5" s="75">
        <f t="shared" si="0"/>
        <v>1567906.809859155</v>
      </c>
      <c r="L5" s="77">
        <f t="shared" ref="L5:L19" si="2">K5-F5-G5</f>
        <v>1567906.809859155</v>
      </c>
      <c r="M5" s="534">
        <f>VLOOKUP(A5,'2324 Band Calculations'!$A$106:$T$122,19,FALSE)</f>
        <v>79.75</v>
      </c>
      <c r="N5" s="65">
        <f>VLOOKUP(A5,'2324 Band Calculations'!$A$104:$AN$122,40,(FALSE))</f>
        <v>137068.90845070424</v>
      </c>
      <c r="O5" s="81">
        <f>M5-(M5*(VLOOKUP(A5,'2324 Band Calculations'!$A$6:$J$22,10,(FALSE))))</f>
        <v>74.133802816901408</v>
      </c>
      <c r="P5" s="65">
        <f t="shared" ref="P5:P20" si="3">(H5+I5-N5)/O5</f>
        <v>12195.636363636364</v>
      </c>
      <c r="Q5" s="524">
        <f>'2324 MFG Protection'!L21</f>
        <v>0</v>
      </c>
      <c r="R5" s="524">
        <f t="shared" ref="R5:R19" si="4">L5+Q5</f>
        <v>1567906.809859155</v>
      </c>
      <c r="S5" s="65">
        <f t="shared" ref="S5:S20" si="5">M5*10000</f>
        <v>797500</v>
      </c>
      <c r="T5" s="65">
        <f t="shared" ref="T5:T20" si="6">IF(S5&gt;R5,(S5-R5),(0))</f>
        <v>0</v>
      </c>
      <c r="U5" s="72">
        <f t="shared" ref="U5:U20" si="7">R5/M5</f>
        <v>19660.273477857743</v>
      </c>
      <c r="V5" s="72">
        <f t="shared" si="1"/>
        <v>797500</v>
      </c>
      <c r="W5" s="72"/>
      <c r="X5" s="72"/>
      <c r="Y5" s="72">
        <f t="shared" ref="Y5:Y20" si="8">U5-10000</f>
        <v>9660.2734778577433</v>
      </c>
      <c r="Z5" s="75">
        <f t="shared" ref="Z5:Z20" si="9">R5-V5</f>
        <v>770406.80985915498</v>
      </c>
      <c r="AA5" s="75">
        <f t="shared" ref="AA5:AA20" si="10">V5+Z5</f>
        <v>1567906.809859155</v>
      </c>
      <c r="AB5" s="75">
        <f t="shared" ref="AB5:AB20" si="11">R5-AA5</f>
        <v>0</v>
      </c>
      <c r="AC5" s="15"/>
      <c r="AD5" s="65"/>
      <c r="AE5" s="65"/>
      <c r="AF5" s="65"/>
      <c r="AG5" s="535"/>
      <c r="AH5" s="15"/>
    </row>
    <row r="6" spans="1:34" x14ac:dyDescent="0.25">
      <c r="A6" s="74">
        <v>9257025</v>
      </c>
      <c r="B6" s="67" t="s">
        <v>260</v>
      </c>
      <c r="C6" s="536" t="str">
        <f>IF(H6&lt;'2324 School Size Ranges'!$E$4,'2324 School Size Ranges'!$D$4,IF(H6&lt;'2324 School Size Ranges'!$E$5,'2324 School Size Ranges'!$D$5,IF('2324 Funding Detail'!H6&lt;'2324 School Size Ranges'!$E$6,'2324 School Size Ranges'!$D$6,IF(H6&lt;'2324 School Size Ranges'!$E$7,'2324 School Size Ranges'!$D$7,IF(H6&lt;'2324 School Size Ranges'!$E$8,'2324 School Size Ranges'!$D$8,IF(H6&lt;'2324 School Size Ranges'!$E$9,'2324 School Size Ranges'!$D$9,IF(H6&lt;'2324 School Size Ranges'!$E$10,'2324 School Size Ranges'!$D$10,IF(H6&lt;'2324 School Size Ranges'!$E$11,'2324 School Size Ranges'!$D$11,IF(H6&lt;'2324 School Size Ranges'!$E$12,'2324 School Size Ranges'!$D$12,IF(H6&lt;'2324 School Size Ranges'!$E$13,'2324 School Size Ranges'!$D$13,IF(H6&lt;'2324 School Size Ranges'!$E$14,'2324 School Size Ranges'!$D$14)))))))))))</f>
        <v>School Size 4</v>
      </c>
      <c r="D6" s="75">
        <f>IF(H6&lt;'2324 School Size Ranges'!$E$4,'2324 School Size Ranges'!$H$4,IF(H6&lt;'2324 School Size Ranges'!$E$5,'2324 School Size Ranges'!$H$5,IF('2324 Funding Detail'!H6&lt;'2324 School Size Ranges'!$E$6,'2324 School Size Ranges'!$H$6,IF(H6&lt;'2324 School Size Ranges'!$E$7,'2324 School Size Ranges'!$H$7,IF(H6&lt;'2324 School Size Ranges'!$E$8,'2324 School Size Ranges'!$H$8,IF(H6&lt;'2324 School Size Ranges'!$E$9,'2324 School Size Ranges'!$H$9,IF(H6&lt;'2324 School Size Ranges'!$E$10,'2324 School Size Ranges'!$H$10,IF(H6&lt;'2324 School Size Ranges'!$E$11,'2324 School Size Ranges'!$H$11,IF(H6&lt;'2324 School Size Ranges'!$E$12,'2324 School Size Ranges'!$H$12,IF(H6&lt;'2324 School Size Ranges'!$E$13,'2324 School Size Ranges'!$H$13,IF(H6&lt;'2324 School Size Ranges'!$E$14,'2324 School Size Ranges'!$H$14)))))))))))</f>
        <v>399454.60000000003</v>
      </c>
      <c r="E6" s="75">
        <f>IF(H6&lt;'2324 School Size Ranges'!$E$4,'2324 School Size Ranges'!$I$4,IF(H6&lt;'2324 School Size Ranges'!$E$5,'2324 School Size Ranges'!$I$5,IF('2324 Funding Detail'!H6&lt;'2324 School Size Ranges'!$E$6,'2324 School Size Ranges'!$I$6,IF(H6&lt;'2324 School Size Ranges'!$E$7,'2324 School Size Ranges'!$I$7,IF(H6&lt;'2324 School Size Ranges'!$E$8,'2324 School Size Ranges'!$I$8,IF(H6&lt;'2324 School Size Ranges'!$E$9,'2324 School Size Ranges'!$I$9,IF(H6&lt;'2324 School Size Ranges'!$E$10,'2324 School Size Ranges'!$I$10,IF(H6&lt;'2324 School Size Ranges'!$E$11,'2324 School Size Ranges'!$I$11,IF(H6&lt;'2324 School Size Ranges'!$E$12,'2324 School Size Ranges'!$I$12,IF(H6&lt;'2324 School Size Ranges'!$E$13,'2324 School Size Ranges'!$I$13,IF(H6&lt;'2324 School Size Ranges'!$E$14,'2324 School Size Ranges'!$I$14)))))))))))</f>
        <v>116699</v>
      </c>
      <c r="F6" s="75"/>
      <c r="G6" s="75"/>
      <c r="H6" s="77">
        <f>VLOOKUP(A6,'2324 Band Calculations'!$A$106:$T$122,10,FALSE)</f>
        <v>1045732.2666666666</v>
      </c>
      <c r="I6" s="77">
        <f>VLOOKUP(A6,'2324 Band Calculations'!$A$106:$T$122,17,FALSE)</f>
        <v>0</v>
      </c>
      <c r="J6" s="75">
        <f>VLOOKUP(A6,'2324 FSM Calculation'!$A$4:$D$20,4,FALSE)</f>
        <v>19708.7</v>
      </c>
      <c r="K6" s="75">
        <f t="shared" si="0"/>
        <v>1581594.5666666667</v>
      </c>
      <c r="L6" s="77">
        <f t="shared" si="2"/>
        <v>1581594.5666666667</v>
      </c>
      <c r="M6" s="534">
        <f>VLOOKUP(A6,'2324 Band Calculations'!$A$106:$T$122,19,FALSE)</f>
        <v>96</v>
      </c>
      <c r="N6" s="65">
        <f>VLOOKUP(A6,'2324 Band Calculations'!$A$104:$AN$122,40,(FALSE))</f>
        <v>104132.26666666666</v>
      </c>
      <c r="O6" s="81">
        <f>M6-(M6*(VLOOKUP(A6,'2324 Band Calculations'!$A$6:$J$22,10,(FALSE))))</f>
        <v>91.733333333333334</v>
      </c>
      <c r="P6" s="65">
        <f t="shared" si="3"/>
        <v>10264.534883720929</v>
      </c>
      <c r="Q6" s="524">
        <f>'2324 MFG Protection'!L31</f>
        <v>8581.1995982040153</v>
      </c>
      <c r="R6" s="524">
        <f t="shared" si="4"/>
        <v>1590175.7662648708</v>
      </c>
      <c r="S6" s="65">
        <f t="shared" si="5"/>
        <v>960000</v>
      </c>
      <c r="T6" s="65">
        <f t="shared" si="6"/>
        <v>0</v>
      </c>
      <c r="U6" s="72">
        <f t="shared" si="7"/>
        <v>16564.330898592405</v>
      </c>
      <c r="V6" s="72">
        <f t="shared" si="1"/>
        <v>960000</v>
      </c>
      <c r="W6" s="72"/>
      <c r="X6" s="72"/>
      <c r="Y6" s="72">
        <f t="shared" si="8"/>
        <v>6564.330898592405</v>
      </c>
      <c r="Z6" s="75">
        <f t="shared" si="9"/>
        <v>630175.76626487076</v>
      </c>
      <c r="AA6" s="75">
        <f t="shared" si="10"/>
        <v>1590175.7662648708</v>
      </c>
      <c r="AB6" s="75">
        <f t="shared" si="11"/>
        <v>0</v>
      </c>
      <c r="AC6" s="15"/>
      <c r="AD6" s="65"/>
      <c r="AE6" s="65"/>
      <c r="AF6" s="65"/>
      <c r="AG6" s="535"/>
      <c r="AH6" s="15"/>
    </row>
    <row r="7" spans="1:34" x14ac:dyDescent="0.25">
      <c r="A7" s="74">
        <v>9257024</v>
      </c>
      <c r="B7" s="67" t="s">
        <v>261</v>
      </c>
      <c r="C7" s="536" t="str">
        <f>IF(H7&lt;'2324 School Size Ranges'!$E$4,'2324 School Size Ranges'!$D$4,IF(H7&lt;'2324 School Size Ranges'!$E$5,'2324 School Size Ranges'!$D$5,IF('2324 Funding Detail'!H7&lt;'2324 School Size Ranges'!$E$6,'2324 School Size Ranges'!$D$6,IF(H7&lt;'2324 School Size Ranges'!$E$7,'2324 School Size Ranges'!$D$7,IF(H7&lt;'2324 School Size Ranges'!$E$8,'2324 School Size Ranges'!$D$8,IF(H7&lt;'2324 School Size Ranges'!$E$9,'2324 School Size Ranges'!$D$9,IF(H7&lt;'2324 School Size Ranges'!$E$10,'2324 School Size Ranges'!$D$10,IF(H7&lt;'2324 School Size Ranges'!$E$11,'2324 School Size Ranges'!$D$11,IF(H7&lt;'2324 School Size Ranges'!$E$12,'2324 School Size Ranges'!$D$12,IF(H7&lt;'2324 School Size Ranges'!$E$13,'2324 School Size Ranges'!$D$13,IF(H7&lt;'2324 School Size Ranges'!$E$14,'2324 School Size Ranges'!$D$14)))))))))))</f>
        <v>School Size 4</v>
      </c>
      <c r="D7" s="75">
        <f>IF(H7&lt;'2324 School Size Ranges'!$E$4,'2324 School Size Ranges'!$H$4,IF(H7&lt;'2324 School Size Ranges'!$E$5,'2324 School Size Ranges'!$H$5,IF('2324 Funding Detail'!H7&lt;'2324 School Size Ranges'!$E$6,'2324 School Size Ranges'!$H$6,IF(H7&lt;'2324 School Size Ranges'!$E$7,'2324 School Size Ranges'!$H$7,IF(H7&lt;'2324 School Size Ranges'!$E$8,'2324 School Size Ranges'!$H$8,IF(H7&lt;'2324 School Size Ranges'!$E$9,'2324 School Size Ranges'!$H$9,IF(H7&lt;'2324 School Size Ranges'!$E$10,'2324 School Size Ranges'!$H$10,IF(H7&lt;'2324 School Size Ranges'!$E$11,'2324 School Size Ranges'!$H$11,IF(H7&lt;'2324 School Size Ranges'!$E$12,'2324 School Size Ranges'!$H$12,IF(H7&lt;'2324 School Size Ranges'!$E$13,'2324 School Size Ranges'!$H$13,IF(H7&lt;'2324 School Size Ranges'!$E$14,'2324 School Size Ranges'!$H$14)))))))))))</f>
        <v>399454.60000000003</v>
      </c>
      <c r="E7" s="75">
        <f>IF(H7&lt;'2324 School Size Ranges'!$E$4,'2324 School Size Ranges'!$I$4,IF(H7&lt;'2324 School Size Ranges'!$E$5,'2324 School Size Ranges'!$I$5,IF('2324 Funding Detail'!H7&lt;'2324 School Size Ranges'!$E$6,'2324 School Size Ranges'!$I$6,IF(H7&lt;'2324 School Size Ranges'!$E$7,'2324 School Size Ranges'!$I$7,IF(H7&lt;'2324 School Size Ranges'!$E$8,'2324 School Size Ranges'!$I$8,IF(H7&lt;'2324 School Size Ranges'!$E$9,'2324 School Size Ranges'!$I$9,IF(H7&lt;'2324 School Size Ranges'!$E$10,'2324 School Size Ranges'!$I$10,IF(H7&lt;'2324 School Size Ranges'!$E$11,'2324 School Size Ranges'!$I$11,IF(H7&lt;'2324 School Size Ranges'!$E$12,'2324 School Size Ranges'!$I$12,IF(H7&lt;'2324 School Size Ranges'!$E$13,'2324 School Size Ranges'!$I$13,IF(H7&lt;'2324 School Size Ranges'!$E$14,'2324 School Size Ranges'!$I$14)))))))))))</f>
        <v>116699</v>
      </c>
      <c r="F7" s="75"/>
      <c r="G7" s="75"/>
      <c r="H7" s="77">
        <f>VLOOKUP(A7,'2324 Band Calculations'!$A$106:$T$122,10,FALSE)</f>
        <v>1063995.3088235294</v>
      </c>
      <c r="I7" s="77">
        <f>VLOOKUP(A7,'2324 Band Calculations'!$A$106:$T$122,17,FALSE)</f>
        <v>0</v>
      </c>
      <c r="J7" s="75">
        <f>VLOOKUP(A7,'2324 FSM Calculation'!$A$4:$D$20,4,FALSE)</f>
        <v>14421</v>
      </c>
      <c r="K7" s="75">
        <f t="shared" si="0"/>
        <v>1594569.9088235295</v>
      </c>
      <c r="L7" s="77">
        <f t="shared" si="2"/>
        <v>1594569.9088235295</v>
      </c>
      <c r="M7" s="534">
        <f>VLOOKUP(A7,'2324 Band Calculations'!$A$106:$T$122,19,FALSE)</f>
        <v>92.916666666666671</v>
      </c>
      <c r="N7" s="65">
        <f>VLOOKUP(A7,'2324 Band Calculations'!$A$104:$AN$122,40,(FALSE))</f>
        <v>160074.64705882352</v>
      </c>
      <c r="O7" s="81">
        <f>M7-(M7*(VLOOKUP(A7,'2324 Band Calculations'!$A$6:$J$22,10,(FALSE))))</f>
        <v>86.357843137254903</v>
      </c>
      <c r="P7" s="65">
        <f t="shared" si="3"/>
        <v>10467.151898734177</v>
      </c>
      <c r="Q7" s="524">
        <f>'2324 MFG Protection'!L50</f>
        <v>8844.6388169908823</v>
      </c>
      <c r="R7" s="524">
        <f t="shared" si="4"/>
        <v>1603414.5476405204</v>
      </c>
      <c r="S7" s="65">
        <f t="shared" si="5"/>
        <v>929166.66666666674</v>
      </c>
      <c r="T7" s="65">
        <f t="shared" si="6"/>
        <v>0</v>
      </c>
      <c r="U7" s="72">
        <f t="shared" si="7"/>
        <v>17256.479436489906</v>
      </c>
      <c r="V7" s="72">
        <f t="shared" si="1"/>
        <v>929166.66666666674</v>
      </c>
      <c r="W7" s="72"/>
      <c r="X7" s="72"/>
      <c r="Y7" s="72">
        <f t="shared" si="8"/>
        <v>7256.4794364899062</v>
      </c>
      <c r="Z7" s="75">
        <f t="shared" si="9"/>
        <v>674247.88097385364</v>
      </c>
      <c r="AA7" s="75">
        <f t="shared" si="10"/>
        <v>1603414.5476405204</v>
      </c>
      <c r="AB7" s="75">
        <f t="shared" si="11"/>
        <v>0</v>
      </c>
      <c r="AC7" s="15"/>
      <c r="AD7" s="65"/>
      <c r="AE7" s="65"/>
      <c r="AF7" s="65"/>
      <c r="AG7" s="535"/>
      <c r="AH7" s="15"/>
    </row>
    <row r="8" spans="1:34" ht="13" x14ac:dyDescent="0.3">
      <c r="A8" s="74">
        <v>9257031</v>
      </c>
      <c r="B8" s="13" t="s">
        <v>169</v>
      </c>
      <c r="C8" s="536" t="str">
        <f>IF(H8&lt;'2324 School Size Ranges'!$E$4,'2324 School Size Ranges'!$D$4,IF(H8&lt;'2324 School Size Ranges'!$E$5,'2324 School Size Ranges'!$D$5,IF('2324 Funding Detail'!H8&lt;'2324 School Size Ranges'!$E$6,'2324 School Size Ranges'!$D$6,IF(H8&lt;'2324 School Size Ranges'!$E$7,'2324 School Size Ranges'!$D$7,IF(H8&lt;'2324 School Size Ranges'!$E$8,'2324 School Size Ranges'!$D$8,IF(H8&lt;'2324 School Size Ranges'!$E$9,'2324 School Size Ranges'!$D$9,IF(H8&lt;'2324 School Size Ranges'!$E$10,'2324 School Size Ranges'!$D$10,IF(H8&lt;'2324 School Size Ranges'!$E$11,'2324 School Size Ranges'!$D$11,IF(H8&lt;'2324 School Size Ranges'!$E$12,'2324 School Size Ranges'!$D$12,IF(H8&lt;'2324 School Size Ranges'!$E$13,'2324 School Size Ranges'!$D$13,IF(H8&lt;'2324 School Size Ranges'!$E$14,'2324 School Size Ranges'!$D$14)))))))))))</f>
        <v>School Size 5</v>
      </c>
      <c r="D8" s="75">
        <f>IF(H8&lt;'2324 School Size Ranges'!$E$4,'2324 School Size Ranges'!$J$4,IF(H8&lt;'2324 School Size Ranges'!$E$5,'2324 School Size Ranges'!$J$5,IF('2324 Funding Detail'!H8&lt;'2324 School Size Ranges'!$E$6,'2324 School Size Ranges'!$J$6,IF(H8&lt;'2324 School Size Ranges'!$E$7,'2324 School Size Ranges'!$J$7,IF(H8&lt;'2324 School Size Ranges'!$E$8,'2324 School Size Ranges'!$J$8,IF(H8&lt;'2324 School Size Ranges'!$E$9,'2324 School Size Ranges'!$J$9,IF(H8&lt;'2324 School Size Ranges'!$E$10,'2324 School Size Ranges'!$J$10,IF(H8&lt;'2324 School Size Ranges'!$E$11,'2324 School Size Ranges'!$J$11,IF(H8&lt;'2324 School Size Ranges'!$E$12,'2324 School Size Ranges'!$J$12,IF(H8&lt;'2324 School Size Ranges'!$E$13,'2324 School Size Ranges'!$J$13,IF(H8&lt;'2324 School Size Ranges'!$E$14,'2324 School Size Ranges'!$J$14)))))))))))</f>
        <v>413596.5</v>
      </c>
      <c r="E8" s="75">
        <f>IF(H8&lt;'2324 School Size Ranges'!$E$4,'2324 School Size Ranges'!$K$4,IF(H8&lt;'2324 School Size Ranges'!$E$5,'2324 School Size Ranges'!$K$5,IF('2324 Funding Detail'!H8&lt;'2324 School Size Ranges'!$E$6,'2324 School Size Ranges'!$K$6,IF(H8&lt;'2324 School Size Ranges'!$E$7,'2324 School Size Ranges'!$K$7,IF(H8&lt;'2324 School Size Ranges'!$E$8,'2324 School Size Ranges'!$K$8,IF(H8&lt;'2324 School Size Ranges'!$E$9,'2324 School Size Ranges'!$K$9,IF(H8&lt;'2324 School Size Ranges'!$E$10,'2324 School Size Ranges'!$K$10,IF(H8&lt;'2324 School Size Ranges'!$E$11,'2324 School Size Ranges'!$K$11,IF(H8&lt;'2324 School Size Ranges'!$E$12,'2324 School Size Ranges'!$K$12,IF(H8&lt;'2324 School Size Ranges'!$E$13,'2324 School Size Ranges'!$K$13,IF(H8&lt;'2324 School Size Ranges'!$E$14,'2324 School Size Ranges'!$K$14)))))))))))</f>
        <v>91206.5</v>
      </c>
      <c r="F8" s="694">
        <v>226826</v>
      </c>
      <c r="G8" s="75"/>
      <c r="H8" s="77">
        <f>VLOOKUP(A8,'2324 Band Calculations'!$A$106:$T$122,10,FALSE)</f>
        <v>1254440.75</v>
      </c>
      <c r="I8" s="77">
        <f>VLOOKUP(A8,'2324 Band Calculations'!$A$106:$T$122,17,FALSE)</f>
        <v>0</v>
      </c>
      <c r="J8" s="75">
        <f>VLOOKUP(A8,'2324 FSM Calculation'!$A$4:$D$20,4,FALSE)</f>
        <v>21150.799999999999</v>
      </c>
      <c r="K8" s="75">
        <f>SUM(D8:J8)</f>
        <v>2007220.55</v>
      </c>
      <c r="L8" s="77">
        <f>K8-F8-G8</f>
        <v>1780394.55</v>
      </c>
      <c r="M8" s="534">
        <f>VLOOKUP(A8,'2324 Band Calculations'!$A$106:$T$122,19,FALSE)</f>
        <v>80.583333333333343</v>
      </c>
      <c r="N8" s="65">
        <f>VLOOKUP(A8,'2324 Band Calculations'!$A$104:$AN$122,40,(FALSE))</f>
        <v>0</v>
      </c>
      <c r="O8" s="81">
        <f>M8-(M8*(VLOOKUP(A8,'2324 Band Calculations'!$A$6:$J$22,10,(FALSE))))</f>
        <v>80.583333333333343</v>
      </c>
      <c r="P8" s="65">
        <f>(H8+I8-N8)/O8</f>
        <v>15566.999999999998</v>
      </c>
      <c r="Q8" s="524">
        <f>'2324 MFG Protection'!L60</f>
        <v>0</v>
      </c>
      <c r="R8" s="524">
        <f>L8+Q8</f>
        <v>1780394.55</v>
      </c>
      <c r="S8" s="65">
        <f>M8*10000</f>
        <v>805833.33333333337</v>
      </c>
      <c r="T8" s="65">
        <f>IF(S8&gt;R8,(S8-R8),(0))</f>
        <v>0</v>
      </c>
      <c r="U8" s="72">
        <f>R8/M8</f>
        <v>22093.8310237849</v>
      </c>
      <c r="V8" s="72">
        <f>M8*10000</f>
        <v>805833.33333333337</v>
      </c>
      <c r="W8" s="72"/>
      <c r="X8" s="72"/>
      <c r="Y8" s="72">
        <f>U8-10000</f>
        <v>12093.8310237849</v>
      </c>
      <c r="Z8" s="75">
        <f>R8-V8</f>
        <v>974561.21666666667</v>
      </c>
      <c r="AA8" s="75">
        <f>V8+Z8</f>
        <v>1780394.55</v>
      </c>
      <c r="AB8" s="75">
        <f>R8-AA8</f>
        <v>0</v>
      </c>
      <c r="AC8" s="15"/>
      <c r="AD8" s="65"/>
      <c r="AE8" s="65"/>
      <c r="AF8" s="65"/>
      <c r="AG8" s="535"/>
      <c r="AH8" s="15"/>
    </row>
    <row r="9" spans="1:34" x14ac:dyDescent="0.25">
      <c r="A9" s="74">
        <v>9257033</v>
      </c>
      <c r="B9" s="67" t="s">
        <v>269</v>
      </c>
      <c r="C9" s="536" t="str">
        <f>IF(H9&lt;'2324 School Size Ranges'!$E$4,'2324 School Size Ranges'!$D$4,IF(H9&lt;'2324 School Size Ranges'!$E$5,'2324 School Size Ranges'!$D$5,IF('2324 Funding Detail'!H9&lt;'2324 School Size Ranges'!$E$6,'2324 School Size Ranges'!$D$6,IF(H9&lt;'2324 School Size Ranges'!$E$7,'2324 School Size Ranges'!$D$7,IF(H9&lt;'2324 School Size Ranges'!$E$8,'2324 School Size Ranges'!$D$8,IF(H9&lt;'2324 School Size Ranges'!$E$9,'2324 School Size Ranges'!$D$9,IF(H9&lt;'2324 School Size Ranges'!$E$10,'2324 School Size Ranges'!$D$10,IF(H9&lt;'2324 School Size Ranges'!$E$11,'2324 School Size Ranges'!$D$11,IF(H9&lt;'2324 School Size Ranges'!$E$12,'2324 School Size Ranges'!$D$12,IF(H9&lt;'2324 School Size Ranges'!$E$13,'2324 School Size Ranges'!$D$13,IF(H9&lt;'2324 School Size Ranges'!$E$14,'2324 School Size Ranges'!$D$14)))))))))))</f>
        <v>School Size 4</v>
      </c>
      <c r="D9" s="75">
        <f>IF(H9&lt;'2324 School Size Ranges'!$E$4,'2324 School Size Ranges'!$H$4,IF(H9&lt;'2324 School Size Ranges'!$E$5,'2324 School Size Ranges'!$H$5,IF('2324 Funding Detail'!H9&lt;'2324 School Size Ranges'!$E$6,'2324 School Size Ranges'!$H$6,IF(H9&lt;'2324 School Size Ranges'!$E$7,'2324 School Size Ranges'!$H$7,IF(H9&lt;'2324 School Size Ranges'!$E$8,'2324 School Size Ranges'!$H$8,IF(H9&lt;'2324 School Size Ranges'!$E$9,'2324 School Size Ranges'!$H$9,IF(H9&lt;'2324 School Size Ranges'!$E$10,'2324 School Size Ranges'!$H$10,IF(H9&lt;'2324 School Size Ranges'!$E$11,'2324 School Size Ranges'!$H$11,IF(H9&lt;'2324 School Size Ranges'!$E$12,'2324 School Size Ranges'!$H$12,IF(H9&lt;'2324 School Size Ranges'!$E$13,'2324 School Size Ranges'!$H$13,IF(H9&lt;'2324 School Size Ranges'!$E$14,'2324 School Size Ranges'!$H$14)))))))))))</f>
        <v>399454.60000000003</v>
      </c>
      <c r="E9" s="75">
        <f>IF(H9&lt;'2324 School Size Ranges'!$E$4,'2324 School Size Ranges'!$I$4,IF(H9&lt;'2324 School Size Ranges'!$E$5,'2324 School Size Ranges'!$I$5,IF('2324 Funding Detail'!H9&lt;'2324 School Size Ranges'!$E$6,'2324 School Size Ranges'!$I$6,IF(H9&lt;'2324 School Size Ranges'!$E$7,'2324 School Size Ranges'!$I$7,IF(H9&lt;'2324 School Size Ranges'!$E$8,'2324 School Size Ranges'!$I$8,IF(H9&lt;'2324 School Size Ranges'!$E$9,'2324 School Size Ranges'!$I$9,IF(H9&lt;'2324 School Size Ranges'!$E$10,'2324 School Size Ranges'!$I$10,IF(H9&lt;'2324 School Size Ranges'!$E$11,'2324 School Size Ranges'!$I$11,IF(H9&lt;'2324 School Size Ranges'!$E$12,'2324 School Size Ranges'!$I$12,IF(H9&lt;'2324 School Size Ranges'!$E$13,'2324 School Size Ranges'!$I$13,IF(H9&lt;'2324 School Size Ranges'!$E$14,'2324 School Size Ranges'!$I$14)))))))))))</f>
        <v>116699</v>
      </c>
      <c r="F9" s="69"/>
      <c r="G9" s="75"/>
      <c r="H9" s="77">
        <f>VLOOKUP(A9,'2324 Band Calculations'!$A$106:$T$122,10,FALSE)</f>
        <v>1071210.3941441439</v>
      </c>
      <c r="I9" s="77">
        <f>VLOOKUP(A9,'2324 Band Calculations'!$A$106:$T$122,17,FALSE)</f>
        <v>0</v>
      </c>
      <c r="J9" s="75">
        <f>VLOOKUP(A9,'2324 FSM Calculation'!$A$4:$D$20,4,FALSE)</f>
        <v>30764.799999999999</v>
      </c>
      <c r="K9" s="75">
        <f>SUM(D9:J9)</f>
        <v>1618128.794144144</v>
      </c>
      <c r="L9" s="77">
        <f>K9-F9-G9</f>
        <v>1618128.794144144</v>
      </c>
      <c r="M9" s="534">
        <f>VLOOKUP(A9,'2324 Band Calculations'!$A$106:$T$122,19,FALSE)</f>
        <v>113.75000000000001</v>
      </c>
      <c r="N9" s="65">
        <f>VLOOKUP(A9,'2324 Band Calculations'!$A$104:$AN$122,40,(FALSE))</f>
        <v>50021.306306306302</v>
      </c>
      <c r="O9" s="81">
        <f>M9-(M9*(VLOOKUP(A9,'2324 Band Calculations'!$A$6:$J$22,10,(FALSE))))</f>
        <v>111.70045045045046</v>
      </c>
      <c r="P9" s="65">
        <f>(H9+I9-N9)/O9</f>
        <v>9142.2110091743089</v>
      </c>
      <c r="Q9" s="524">
        <f>'2324 MFG Protection'!L70</f>
        <v>0</v>
      </c>
      <c r="R9" s="524">
        <f>L9+Q9</f>
        <v>1618128.794144144</v>
      </c>
      <c r="S9" s="65">
        <f>M9*10000</f>
        <v>1137500.0000000002</v>
      </c>
      <c r="T9" s="65">
        <f>IF(S9&gt;R9,(S9-R9),(0))</f>
        <v>0</v>
      </c>
      <c r="U9" s="72">
        <f>R9/M9</f>
        <v>14225.308080388078</v>
      </c>
      <c r="V9" s="72">
        <f>M9*10000</f>
        <v>1137500.0000000002</v>
      </c>
      <c r="W9" s="72"/>
      <c r="X9" s="72"/>
      <c r="Y9" s="72">
        <f>U9-10000</f>
        <v>4225.3080803880785</v>
      </c>
      <c r="Z9" s="75">
        <f>R9-V9</f>
        <v>480628.79414414382</v>
      </c>
      <c r="AA9" s="75">
        <f>V9+Z9</f>
        <v>1618128.794144144</v>
      </c>
      <c r="AB9" s="75">
        <f>R9-AA9</f>
        <v>0</v>
      </c>
      <c r="AC9" s="15"/>
      <c r="AD9" s="65"/>
      <c r="AE9" s="65"/>
      <c r="AF9" s="65"/>
      <c r="AG9" s="535"/>
      <c r="AH9" s="15"/>
    </row>
    <row r="10" spans="1:34" x14ac:dyDescent="0.25">
      <c r="A10" s="74">
        <v>9257008</v>
      </c>
      <c r="B10" s="67" t="s">
        <v>126</v>
      </c>
      <c r="C10" s="536" t="str">
        <f>IF(H10&lt;'2324 School Size Ranges'!$E$4,'2324 School Size Ranges'!$D$4,IF(H10&lt;'2324 School Size Ranges'!$E$5,'2324 School Size Ranges'!$D$5,IF('2324 Funding Detail'!H10&lt;'2324 School Size Ranges'!$E$6,'2324 School Size Ranges'!$D$6,IF(H10&lt;'2324 School Size Ranges'!$E$7,'2324 School Size Ranges'!$D$7,IF(H10&lt;'2324 School Size Ranges'!$E$8,'2324 School Size Ranges'!$D$8,IF(H10&lt;'2324 School Size Ranges'!$E$9,'2324 School Size Ranges'!$D$9,IF(H10&lt;'2324 School Size Ranges'!$E$10,'2324 School Size Ranges'!$D$10,IF(H10&lt;'2324 School Size Ranges'!$E$11,'2324 School Size Ranges'!$D$11,IF(H10&lt;'2324 School Size Ranges'!$E$12,'2324 School Size Ranges'!$D$12,IF(H10&lt;'2324 School Size Ranges'!$E$13,'2324 School Size Ranges'!$D$13,IF(H10&lt;'2324 School Size Ranges'!$E$14,'2324 School Size Ranges'!$D$14)))))))))))</f>
        <v>School Size 4</v>
      </c>
      <c r="D10" s="75">
        <f>IF(H10&lt;'2324 School Size Ranges'!$E$4,'2324 School Size Ranges'!$H$4,IF(H10&lt;'2324 School Size Ranges'!$E$5,'2324 School Size Ranges'!$H$5,IF('2324 Funding Detail'!H10&lt;'2324 School Size Ranges'!$E$6,'2324 School Size Ranges'!$H$6,IF(H10&lt;'2324 School Size Ranges'!$E$7,'2324 School Size Ranges'!$H$7,IF(H10&lt;'2324 School Size Ranges'!$E$8,'2324 School Size Ranges'!$H$8,IF(H10&lt;'2324 School Size Ranges'!$E$9,'2324 School Size Ranges'!$H$9,IF(H10&lt;'2324 School Size Ranges'!$E$10,'2324 School Size Ranges'!$H$10,IF(H10&lt;'2324 School Size Ranges'!$E$11,'2324 School Size Ranges'!$H$11,IF(H10&lt;'2324 School Size Ranges'!$E$12,'2324 School Size Ranges'!$H$12,IF(H10&lt;'2324 School Size Ranges'!$E$13,'2324 School Size Ranges'!$H$13,IF(H10&lt;'2324 School Size Ranges'!$E$14,'2324 School Size Ranges'!$H$14)))))))))))</f>
        <v>399454.60000000003</v>
      </c>
      <c r="E10" s="75">
        <f>IF(H10&lt;'2324 School Size Ranges'!$E$4,'2324 School Size Ranges'!$I$4,IF(H10&lt;'2324 School Size Ranges'!$E$5,'2324 School Size Ranges'!$I$5,IF('2324 Funding Detail'!H10&lt;'2324 School Size Ranges'!$E$6,'2324 School Size Ranges'!$I$6,IF(H10&lt;'2324 School Size Ranges'!$E$7,'2324 School Size Ranges'!$I$7,IF(H10&lt;'2324 School Size Ranges'!$E$8,'2324 School Size Ranges'!$I$8,IF(H10&lt;'2324 School Size Ranges'!$E$9,'2324 School Size Ranges'!$I$9,IF(H10&lt;'2324 School Size Ranges'!$E$10,'2324 School Size Ranges'!$I$10,IF(H10&lt;'2324 School Size Ranges'!$E$11,'2324 School Size Ranges'!$I$11,IF(H10&lt;'2324 School Size Ranges'!$E$12,'2324 School Size Ranges'!$I$12,IF(H10&lt;'2324 School Size Ranges'!$E$13,'2324 School Size Ranges'!$I$13,IF(H10&lt;'2324 School Size Ranges'!$E$14,'2324 School Size Ranges'!$I$14)))))))))))</f>
        <v>116699</v>
      </c>
      <c r="F10" s="69"/>
      <c r="G10" s="75"/>
      <c r="H10" s="77">
        <f>VLOOKUP(A10,'2324 Band Calculations'!$A$106:$T$122,10,FALSE)</f>
        <v>958157.00000000012</v>
      </c>
      <c r="I10" s="77">
        <f>VLOOKUP(A10,'2324 Band Calculations'!$A$106:$T$122,17,FALSE)</f>
        <v>0</v>
      </c>
      <c r="J10" s="75">
        <f>VLOOKUP(A10,'2324 FSM Calculation'!$A$4:$D$20,4,FALSE)</f>
        <v>16824.5</v>
      </c>
      <c r="K10" s="75">
        <f t="shared" si="0"/>
        <v>1491135.1</v>
      </c>
      <c r="L10" s="77">
        <f t="shared" si="2"/>
        <v>1491135.1</v>
      </c>
      <c r="M10" s="534">
        <f>VLOOKUP(A10,'2324 Band Calculations'!$A$106:$T$122,19,FALSE)</f>
        <v>101</v>
      </c>
      <c r="N10" s="65">
        <f>VLOOKUP(A10,'2324 Band Calculations'!$A$104:$AN$122,40,(FALSE))</f>
        <v>0</v>
      </c>
      <c r="O10" s="81">
        <f>M10-(M10*(VLOOKUP(A10,'2324 Band Calculations'!$A$6:$J$22,10,(FALSE))))</f>
        <v>101</v>
      </c>
      <c r="P10" s="65">
        <f t="shared" si="3"/>
        <v>9486.7029702970303</v>
      </c>
      <c r="Q10" s="524">
        <f>'2324 MFG Protection'!L80</f>
        <v>0</v>
      </c>
      <c r="R10" s="524">
        <f t="shared" si="4"/>
        <v>1491135.1</v>
      </c>
      <c r="S10" s="65">
        <f t="shared" si="5"/>
        <v>1010000</v>
      </c>
      <c r="T10" s="65">
        <f t="shared" si="6"/>
        <v>0</v>
      </c>
      <c r="U10" s="72">
        <f t="shared" si="7"/>
        <v>14763.713861386139</v>
      </c>
      <c r="V10" s="72">
        <f t="shared" si="1"/>
        <v>1010000</v>
      </c>
      <c r="W10" s="72"/>
      <c r="X10" s="72"/>
      <c r="Y10" s="72">
        <f t="shared" si="8"/>
        <v>4763.7138613861389</v>
      </c>
      <c r="Z10" s="75">
        <f t="shared" si="9"/>
        <v>481135.10000000009</v>
      </c>
      <c r="AA10" s="75">
        <f t="shared" si="10"/>
        <v>1491135.1</v>
      </c>
      <c r="AB10" s="75">
        <f t="shared" si="11"/>
        <v>0</v>
      </c>
      <c r="AC10" s="15"/>
      <c r="AD10" s="65"/>
      <c r="AE10" s="65"/>
      <c r="AF10" s="65"/>
      <c r="AG10" s="535"/>
      <c r="AH10" s="15"/>
    </row>
    <row r="11" spans="1:34" x14ac:dyDescent="0.25">
      <c r="A11" s="74">
        <v>9257034</v>
      </c>
      <c r="B11" s="67" t="s">
        <v>270</v>
      </c>
      <c r="C11" s="536" t="str">
        <f>IF(H11&lt;'2324 School Size Ranges'!$E$4,'2324 School Size Ranges'!$D$4,IF(H11&lt;'2324 School Size Ranges'!$E$5,'2324 School Size Ranges'!$D$5,IF('2324 Funding Detail'!H11&lt;'2324 School Size Ranges'!$E$6,'2324 School Size Ranges'!$D$6,IF(H11&lt;'2324 School Size Ranges'!$E$7,'2324 School Size Ranges'!$D$7,IF(H11&lt;'2324 School Size Ranges'!$E$8,'2324 School Size Ranges'!$D$8,IF(H11&lt;'2324 School Size Ranges'!$E$9,'2324 School Size Ranges'!$D$9,IF(H11&lt;'2324 School Size Ranges'!$E$10,'2324 School Size Ranges'!$D$10,IF(H11&lt;'2324 School Size Ranges'!$E$11,'2324 School Size Ranges'!$D$11,IF(H11&lt;'2324 School Size Ranges'!$E$12,'2324 School Size Ranges'!$D$12,IF(H11&lt;'2324 School Size Ranges'!$E$13,'2324 School Size Ranges'!$D$13,IF(H11&lt;'2324 School Size Ranges'!$E$14,'2324 School Size Ranges'!$D$14)))))))))))</f>
        <v>School Size 4 Transition Point</v>
      </c>
      <c r="D11" s="75">
        <f>IF(H11&lt;'2324 School Size Ranges'!$E$4,'2324 School Size Ranges'!$H$4,IF(H11&lt;'2324 School Size Ranges'!$E$5,'2324 School Size Ranges'!$H$5,IF('2324 Funding Detail'!H11&lt;'2324 School Size Ranges'!$E$6,'2324 School Size Ranges'!$H$6,IF(H11&lt;'2324 School Size Ranges'!$E$7,'2324 School Size Ranges'!$H$7,IF(H11&lt;'2324 School Size Ranges'!$E$8,'2324 School Size Ranges'!$H$8,IF(H11&lt;'2324 School Size Ranges'!$E$9,'2324 School Size Ranges'!$H$9,IF(H11&lt;'2324 School Size Ranges'!$E$10,'2324 School Size Ranges'!$H$10,IF(H11&lt;'2324 School Size Ranges'!$E$11,'2324 School Size Ranges'!$H$11,IF(H11&lt;'2324 School Size Ranges'!$E$12,'2324 School Size Ranges'!$H$12,IF(H11&lt;'2324 School Size Ranges'!$E$13,'2324 School Size Ranges'!$H$13,IF(H11&lt;'2324 School Size Ranges'!$E$14,'2324 School Size Ranges'!$H$14)))))))))))</f>
        <v>438718.2</v>
      </c>
      <c r="E11" s="75">
        <f>IF(H11&lt;'2324 School Size Ranges'!$E$4,'2324 School Size Ranges'!$I$4,IF(H11&lt;'2324 School Size Ranges'!$E$5,'2324 School Size Ranges'!$I$5,IF('2324 Funding Detail'!H11&lt;'2324 School Size Ranges'!$E$6,'2324 School Size Ranges'!$I$6,IF(H11&lt;'2324 School Size Ranges'!$E$7,'2324 School Size Ranges'!$I$7,IF(H11&lt;'2324 School Size Ranges'!$E$8,'2324 School Size Ranges'!$I$8,IF(H11&lt;'2324 School Size Ranges'!$E$9,'2324 School Size Ranges'!$I$9,IF(H11&lt;'2324 School Size Ranges'!$E$10,'2324 School Size Ranges'!$I$10,IF(H11&lt;'2324 School Size Ranges'!$E$11,'2324 School Size Ranges'!$I$11,IF(H11&lt;'2324 School Size Ranges'!$E$12,'2324 School Size Ranges'!$I$12,IF(H11&lt;'2324 School Size Ranges'!$E$13,'2324 School Size Ranges'!$I$13,IF(H11&lt;'2324 School Size Ranges'!$E$14,'2324 School Size Ranges'!$I$14)))))))))))</f>
        <v>122003.5</v>
      </c>
      <c r="F11" s="69"/>
      <c r="G11" s="75"/>
      <c r="H11" s="77">
        <f>VLOOKUP(A11,'2324 Band Calculations'!$A$106:$T$122,10,FALSE)</f>
        <v>1183425.2849002851</v>
      </c>
      <c r="I11" s="77">
        <f>VLOOKUP(A11,'2324 Band Calculations'!$A$106:$T$122,17,FALSE)</f>
        <v>0</v>
      </c>
      <c r="J11" s="75">
        <f>VLOOKUP(A11,'2324 FSM Calculation'!$A$4:$D$20,4,FALSE)</f>
        <v>27399.899999999998</v>
      </c>
      <c r="K11" s="75">
        <f>SUM(D11:J11)</f>
        <v>1771546.8849002849</v>
      </c>
      <c r="L11" s="77">
        <f>K11-F11-G11</f>
        <v>1771546.8849002849</v>
      </c>
      <c r="M11" s="534">
        <f>VLOOKUP(A11,'2324 Band Calculations'!$A$106:$T$122,19,FALSE)</f>
        <v>128.33333333333334</v>
      </c>
      <c r="N11" s="65">
        <f>VLOOKUP(A11,'2324 Band Calculations'!$A$104:$AN$122,40,(FALSE))</f>
        <v>26770.113960113962</v>
      </c>
      <c r="O11" s="81">
        <f>M11-(M11*(VLOOKUP(A11,'2324 Band Calculations'!$A$6:$J$22,10,(FALSE))))</f>
        <v>127.23646723646725</v>
      </c>
      <c r="P11" s="65">
        <f>(H11+I11-N11)/O11</f>
        <v>9090.5948275862065</v>
      </c>
      <c r="Q11" s="524">
        <f>'2324 MFG Protection'!L90</f>
        <v>34011.53444176296</v>
      </c>
      <c r="R11" s="524">
        <f>L11+Q11</f>
        <v>1805558.419342048</v>
      </c>
      <c r="S11" s="65">
        <f>M11*10000</f>
        <v>1283333.3333333335</v>
      </c>
      <c r="T11" s="65">
        <f>IF(S11&gt;R11,(S11-R11),(0))</f>
        <v>0</v>
      </c>
      <c r="U11" s="72">
        <f>R11/M11</f>
        <v>14069.28638448349</v>
      </c>
      <c r="V11" s="72">
        <f>M11*10000</f>
        <v>1283333.3333333335</v>
      </c>
      <c r="W11" s="72"/>
      <c r="X11" s="72"/>
      <c r="Y11" s="72">
        <f>U11-10000</f>
        <v>4069.2863844834901</v>
      </c>
      <c r="Z11" s="75">
        <f>R11-V11</f>
        <v>522225.08600871451</v>
      </c>
      <c r="AA11" s="75">
        <f>V11+Z11</f>
        <v>1805558.419342048</v>
      </c>
      <c r="AB11" s="75">
        <f>R11-AA11</f>
        <v>0</v>
      </c>
      <c r="AC11" s="15"/>
      <c r="AD11" s="65"/>
      <c r="AE11" s="65"/>
      <c r="AF11" s="65"/>
      <c r="AG11" s="535"/>
      <c r="AH11" s="15"/>
    </row>
    <row r="12" spans="1:34" x14ac:dyDescent="0.25">
      <c r="A12" s="74">
        <v>9257002</v>
      </c>
      <c r="B12" s="67" t="s">
        <v>262</v>
      </c>
      <c r="C12" s="652" t="str">
        <f>IF(H12&lt;'2324 School Size Ranges'!$E$4,'2324 School Size Ranges'!$D$4,IF(H12&lt;'2324 School Size Ranges'!$E$5,'2324 School Size Ranges'!$D$5,IF('2324 Funding Detail'!H12&lt;'2324 School Size Ranges'!$E$6,'2324 School Size Ranges'!$D$6,IF(H12&lt;'2324 School Size Ranges'!$E$7,'2324 School Size Ranges'!$D$7,IF(H12&lt;'2324 School Size Ranges'!$E$8,'2324 School Size Ranges'!$D$8,IF(H12&lt;'2324 School Size Ranges'!$E$9,'2324 School Size Ranges'!$D$9,IF(H12&lt;'2324 School Size Ranges'!$E$10,'2324 School Size Ranges'!$D$10,IF(H12&lt;'2324 School Size Ranges'!$E$11,'2324 School Size Ranges'!$D$11,IF(H12&lt;'2324 School Size Ranges'!$E$12,'2324 School Size Ranges'!$D$12,IF(H12&lt;'2324 School Size Ranges'!$E$13,'2324 School Size Ranges'!$D$13,IF(H12&lt;'2324 School Size Ranges'!$E$14,'2324 School Size Ranges'!$D$14)))))))))))</f>
        <v>School Size 5 Transition Point</v>
      </c>
      <c r="D12" s="75">
        <f>IF(H12&lt;'2324 School Size Ranges'!$E$4,'2324 School Size Ranges'!$H$4,IF(H12&lt;'2324 School Size Ranges'!$E$5,'2324 School Size Ranges'!$H$5,IF('2324 Funding Detail'!H12&lt;'2324 School Size Ranges'!$E$6,'2324 School Size Ranges'!$H$6,IF(H12&lt;'2324 School Size Ranges'!$E$7,'2324 School Size Ranges'!$H$7,IF(H12&lt;'2324 School Size Ranges'!$E$8,'2324 School Size Ranges'!$H$8,IF(H12&lt;'2324 School Size Ranges'!$E$9,'2324 School Size Ranges'!$H$9,IF(H12&lt;'2324 School Size Ranges'!$E$10,'2324 School Size Ranges'!$H$10,IF(H12&lt;'2324 School Size Ranges'!$E$11,'2324 School Size Ranges'!$H$11,IF(H12&lt;'2324 School Size Ranges'!$E$12,'2324 School Size Ranges'!$H$12,IF(H12&lt;'2324 School Size Ranges'!$E$13,'2324 School Size Ranges'!$H$13,IF(H12&lt;'2324 School Size Ranges'!$E$14,'2324 School Size Ranges'!$H$14)))))))))))</f>
        <v>522601.4</v>
      </c>
      <c r="E12" s="75">
        <f>IF(H12&lt;'2324 School Size Ranges'!$E$4,'2324 School Size Ranges'!$I$4,IF(H12&lt;'2324 School Size Ranges'!$E$5,'2324 School Size Ranges'!$I$5,IF('2324 Funding Detail'!H12&lt;'2324 School Size Ranges'!$E$6,'2324 School Size Ranges'!$I$6,IF(H12&lt;'2324 School Size Ranges'!$E$7,'2324 School Size Ranges'!$I$7,IF(H12&lt;'2324 School Size Ranges'!$E$8,'2324 School Size Ranges'!$I$8,IF(H12&lt;'2324 School Size Ranges'!$E$9,'2324 School Size Ranges'!$I$9,IF(H12&lt;'2324 School Size Ranges'!$E$10,'2324 School Size Ranges'!$I$10,IF(H12&lt;'2324 School Size Ranges'!$E$11,'2324 School Size Ranges'!$I$11,IF(H12&lt;'2324 School Size Ranges'!$E$12,'2324 School Size Ranges'!$I$12,IF(H12&lt;'2324 School Size Ranges'!$E$13,'2324 School Size Ranges'!$I$13,IF(H12&lt;'2324 School Size Ranges'!$E$14,'2324 School Size Ranges'!$I$14)))))))))))</f>
        <v>137917</v>
      </c>
      <c r="F12" s="69"/>
      <c r="G12" s="75"/>
      <c r="H12" s="77">
        <f>VLOOKUP(A12,'2324 Band Calculations'!$A$106:$T$122,10,FALSE)</f>
        <v>1736627.100101626</v>
      </c>
      <c r="I12" s="77">
        <f>VLOOKUP(A12,'2324 Band Calculations'!$A$106:$T$122,17,FALSE)</f>
        <v>0</v>
      </c>
      <c r="J12" s="75">
        <f>VLOOKUP(A12,'2324 FSM Calculation'!$A$4:$D$20,4,FALSE)</f>
        <v>24996.399999999998</v>
      </c>
      <c r="K12" s="75">
        <f t="shared" si="0"/>
        <v>2422141.9001016258</v>
      </c>
      <c r="L12" s="77">
        <f t="shared" si="2"/>
        <v>2422141.9001016258</v>
      </c>
      <c r="M12" s="534">
        <f>VLOOKUP(A12,'2324 Band Calculations'!$A$106:$T$122,19,FALSE)</f>
        <v>168.91666666666669</v>
      </c>
      <c r="N12" s="65">
        <f>VLOOKUP(A12,'2324 Band Calculations'!$A$104:$AN$122,40,(FALSE))</f>
        <v>50275.367886178865</v>
      </c>
      <c r="O12" s="81">
        <f>M12-(M12*(VLOOKUP(A12,'2324 Band Calculations'!$A$6:$J$22,10,(FALSE))))</f>
        <v>166.85670731707319</v>
      </c>
      <c r="P12" s="65">
        <f t="shared" si="3"/>
        <v>10106.586419753085</v>
      </c>
      <c r="Q12" s="524">
        <f>'2324 MFG Protection'!L100</f>
        <v>0</v>
      </c>
      <c r="R12" s="524">
        <f t="shared" si="4"/>
        <v>2422141.9001016258</v>
      </c>
      <c r="S12" s="65">
        <f t="shared" si="5"/>
        <v>1689166.6666666667</v>
      </c>
      <c r="T12" s="65">
        <f t="shared" si="6"/>
        <v>0</v>
      </c>
      <c r="U12" s="72">
        <f t="shared" si="7"/>
        <v>14339.271238884809</v>
      </c>
      <c r="V12" s="72">
        <f t="shared" si="1"/>
        <v>1689166.6666666667</v>
      </c>
      <c r="W12" s="72"/>
      <c r="X12" s="72"/>
      <c r="Y12" s="72">
        <f t="shared" si="8"/>
        <v>4339.2712388848086</v>
      </c>
      <c r="Z12" s="75">
        <f t="shared" si="9"/>
        <v>732975.23343495908</v>
      </c>
      <c r="AA12" s="75">
        <f t="shared" si="10"/>
        <v>2422141.9001016258</v>
      </c>
      <c r="AB12" s="75">
        <f t="shared" si="11"/>
        <v>0</v>
      </c>
      <c r="AC12" s="15"/>
      <c r="AD12" s="65"/>
      <c r="AE12" s="65"/>
      <c r="AF12" s="65"/>
      <c r="AG12" s="535"/>
      <c r="AH12" s="15"/>
    </row>
    <row r="13" spans="1:34" x14ac:dyDescent="0.25">
      <c r="A13" s="74">
        <v>9257009</v>
      </c>
      <c r="B13" s="83" t="s">
        <v>334</v>
      </c>
      <c r="C13" s="678" t="str">
        <f>IF(H13&lt;'2324 School Size Ranges'!$E$4,'2324 School Size Ranges'!$D$4,IF(H13&lt;'2324 School Size Ranges'!$E$5,'2324 School Size Ranges'!$D$5,IF('2324 Funding Detail'!H13&lt;'2324 School Size Ranges'!$E$6,'2324 School Size Ranges'!$D$6,IF(H13&lt;'2324 School Size Ranges'!$E$7,'2324 School Size Ranges'!$D$7,IF(H13&lt;'2324 School Size Ranges'!$E$8,'2324 School Size Ranges'!$D$8,IF(H13&lt;'2324 School Size Ranges'!$E$9,'2324 School Size Ranges'!$D$9,IF(H13&lt;'2324 School Size Ranges'!$E$10,'2324 School Size Ranges'!$D$10,IF(H13&lt;'2324 School Size Ranges'!$E$11,'2324 School Size Ranges'!$D$11,IF(H13&lt;'2324 School Size Ranges'!$E$12,'2324 School Size Ranges'!$D$12,IF(H13&lt;'2324 School Size Ranges'!$E$13,'2324 School Size Ranges'!$D$13,IF(H13&lt;'2324 School Size Ranges'!$E$14,'2324 School Size Ranges'!$D$14)))))))))))</f>
        <v>School Size 6 Transition Point</v>
      </c>
      <c r="D13" s="75">
        <f>IF(H13&lt;'2324 School Size Ranges'!$E$4,'2324 School Size Ranges'!$H$4,IF(H13&lt;'2324 School Size Ranges'!$E$5,'2324 School Size Ranges'!$H$5,IF('2324 Funding Detail'!H13&lt;'2324 School Size Ranges'!$E$6,'2324 School Size Ranges'!$H$6,IF(H13&lt;'2324 School Size Ranges'!$E$7,'2324 School Size Ranges'!$H$7,IF(H13&lt;'2324 School Size Ranges'!$E$8,'2324 School Size Ranges'!$H$8,IF(H13&lt;'2324 School Size Ranges'!$E$9,'2324 School Size Ranges'!$H$9,IF(H13&lt;'2324 School Size Ranges'!$E$10,'2324 School Size Ranges'!$H$10,IF(H13&lt;'2324 School Size Ranges'!$E$11,'2324 School Size Ranges'!$H$11,IF(H13&lt;'2324 School Size Ranges'!$E$12,'2324 School Size Ranges'!$H$12,IF(H13&lt;'2324 School Size Ranges'!$E$13,'2324 School Size Ranges'!$H$13,IF(H13&lt;'2324 School Size Ranges'!$E$14,'2324 School Size Ranges'!$H$14)))))))))))</f>
        <v>615208.69999999995</v>
      </c>
      <c r="E13" s="75">
        <f>IF(H13&lt;'2324 School Size Ranges'!$E$4,'2324 School Size Ranges'!$I$4,IF(H13&lt;'2324 School Size Ranges'!$E$5,'2324 School Size Ranges'!$I$5,IF('2324 Funding Detail'!H13&lt;'2324 School Size Ranges'!$E$6,'2324 School Size Ranges'!$I$6,IF(H13&lt;'2324 School Size Ranges'!$E$7,'2324 School Size Ranges'!$I$7,IF(H13&lt;'2324 School Size Ranges'!$E$8,'2324 School Size Ranges'!$I$8,IF(H13&lt;'2324 School Size Ranges'!$E$9,'2324 School Size Ranges'!$I$9,IF(H13&lt;'2324 School Size Ranges'!$E$10,'2324 School Size Ranges'!$I$10,IF(H13&lt;'2324 School Size Ranges'!$E$11,'2324 School Size Ranges'!$I$11,IF(H13&lt;'2324 School Size Ranges'!$E$12,'2324 School Size Ranges'!$I$12,IF(H13&lt;'2324 School Size Ranges'!$E$13,'2324 School Size Ranges'!$I$13,IF(H13&lt;'2324 School Size Ranges'!$E$14,'2324 School Size Ranges'!$I$14)))))))))))</f>
        <v>153830.5</v>
      </c>
      <c r="F13" s="69"/>
      <c r="G13" s="669">
        <f>(393880-51740)*1.03</f>
        <v>352404.2</v>
      </c>
      <c r="H13" s="77">
        <f>VLOOKUP(A13,'2324 Band Calculations'!$A$106:$T$122,10,FALSE)</f>
        <v>2232439.1125211506</v>
      </c>
      <c r="I13" s="77">
        <f>VLOOKUP(A13,'2324 Band Calculations'!$A$106:$T$122,17,FALSE)</f>
        <v>0</v>
      </c>
      <c r="J13" s="75">
        <f>VLOOKUP(A13,'2324 FSM Calculation'!$A$4:$D$20,4,FALSE)</f>
        <v>23554.3</v>
      </c>
      <c r="K13" s="75">
        <f t="shared" si="0"/>
        <v>3377436.8125211503</v>
      </c>
      <c r="L13" s="77">
        <f>K13-F13-G13</f>
        <v>3025032.6125211501</v>
      </c>
      <c r="M13" s="534">
        <f>VLOOKUP(A13,'2324 Band Calculations'!$A$106:$T$122,19,FALSE)</f>
        <v>207.83333333333337</v>
      </c>
      <c r="N13" s="65">
        <f>VLOOKUP(A13,'2324 Band Calculations'!$A$104:$AN$122,40,(FALSE))</f>
        <v>257481.23519458543</v>
      </c>
      <c r="O13" s="81">
        <f>M13-(M13*(VLOOKUP(A13,'2324 Band Calculations'!$A$6:$J$22,10,(FALSE))))</f>
        <v>197.28341793570223</v>
      </c>
      <c r="P13" s="65">
        <f t="shared" si="3"/>
        <v>10010.764705882351</v>
      </c>
      <c r="Q13" s="524">
        <f>'2324 MFG Protection'!L110</f>
        <v>34686.323739454252</v>
      </c>
      <c r="R13" s="524">
        <f t="shared" si="4"/>
        <v>3059718.9362606043</v>
      </c>
      <c r="S13" s="65">
        <f t="shared" si="5"/>
        <v>2078333.3333333337</v>
      </c>
      <c r="T13" s="65">
        <f t="shared" si="6"/>
        <v>0</v>
      </c>
      <c r="U13" s="72">
        <f t="shared" si="7"/>
        <v>14721.983654822472</v>
      </c>
      <c r="V13" s="72">
        <f t="shared" si="1"/>
        <v>2078333.3333333337</v>
      </c>
      <c r="W13" s="72"/>
      <c r="X13" s="72"/>
      <c r="Y13" s="72">
        <f t="shared" si="8"/>
        <v>4721.9836548224721</v>
      </c>
      <c r="Z13" s="75">
        <f t="shared" si="9"/>
        <v>981385.60292727058</v>
      </c>
      <c r="AA13" s="75">
        <f t="shared" si="10"/>
        <v>3059718.9362606043</v>
      </c>
      <c r="AB13" s="75">
        <f t="shared" si="11"/>
        <v>0</v>
      </c>
      <c r="AC13" s="15"/>
      <c r="AD13" s="65"/>
      <c r="AE13" s="65"/>
      <c r="AF13" s="65"/>
      <c r="AG13" s="535"/>
      <c r="AH13" s="15"/>
    </row>
    <row r="14" spans="1:34" ht="13" x14ac:dyDescent="0.3">
      <c r="A14" s="74">
        <v>9257029</v>
      </c>
      <c r="B14" s="13" t="s">
        <v>278</v>
      </c>
      <c r="C14" s="536" t="str">
        <f>IF(H14&lt;'2324 School Size Ranges'!$E$4,'2324 School Size Ranges'!$D$4,IF(H14&lt;'2324 School Size Ranges'!$E$5,'2324 School Size Ranges'!$D$5,IF('2324 Funding Detail'!H14&lt;'2324 School Size Ranges'!$E$6,'2324 School Size Ranges'!$D$6,IF(H14&lt;'2324 School Size Ranges'!$E$7,'2324 School Size Ranges'!$D$7,IF(H14&lt;'2324 School Size Ranges'!$E$8,'2324 School Size Ranges'!$D$8,IF(H14&lt;'2324 School Size Ranges'!$E$9,'2324 School Size Ranges'!$D$9,IF(H14&lt;'2324 School Size Ranges'!$E$10,'2324 School Size Ranges'!$D$10,IF(H14&lt;'2324 School Size Ranges'!$E$11,'2324 School Size Ranges'!$D$11,IF(H14&lt;'2324 School Size Ranges'!$E$12,'2324 School Size Ranges'!$D$12,IF(H14&lt;'2324 School Size Ranges'!$E$13,'2324 School Size Ranges'!$D$13,IF(H14&lt;'2324 School Size Ranges'!$E$14,'2324 School Size Ranges'!$D$14)))))))))))</f>
        <v>School Size 4 Transition Point</v>
      </c>
      <c r="D14" s="75">
        <f>IF(H14&lt;'2324 School Size Ranges'!$E$4,'2324 School Size Ranges'!$J$4,IF(H14&lt;'2324 School Size Ranges'!$E$5,'2324 School Size Ranges'!$J$5,IF('2324 Funding Detail'!H14&lt;'2324 School Size Ranges'!$E$6,'2324 School Size Ranges'!$J$6,IF(H14&lt;'2324 School Size Ranges'!$E$7,'2324 School Size Ranges'!$J$7,IF(H14&lt;'2324 School Size Ranges'!$E$8,'2324 School Size Ranges'!$J$8,IF(H14&lt;'2324 School Size Ranges'!$E$9,'2324 School Size Ranges'!$J$9,IF(H14&lt;'2324 School Size Ranges'!$E$10,'2324 School Size Ranges'!$J$10,IF(H14&lt;'2324 School Size Ranges'!$E$11,'2324 School Size Ranges'!$J$11,IF(H14&lt;'2324 School Size Ranges'!$E$12,'2324 School Size Ranges'!$J$12,IF(H14&lt;'2324 School Size Ranges'!$E$13,'2324 School Size Ranges'!$J$13,IF(H14&lt;'2324 School Size Ranges'!$E$14,'2324 School Size Ranges'!$J$14)))))))))))</f>
        <v>394773.25</v>
      </c>
      <c r="E14" s="75">
        <f>IF(H14&lt;'2324 School Size Ranges'!$E$4,'2324 School Size Ranges'!$K$4,IF(H14&lt;'2324 School Size Ranges'!$E$5,'2324 School Size Ranges'!$K$5,IF('2324 Funding Detail'!H14&lt;'2324 School Size Ranges'!$E$6,'2324 School Size Ranges'!$K$6,IF(H14&lt;'2324 School Size Ranges'!$E$7,'2324 School Size Ranges'!$K$7,IF(H14&lt;'2324 School Size Ranges'!$E$8,'2324 School Size Ranges'!$K$8,IF(H14&lt;'2324 School Size Ranges'!$E$9,'2324 School Size Ranges'!$K$9,IF(H14&lt;'2324 School Size Ranges'!$E$10,'2324 School Size Ranges'!$K$10,IF(H14&lt;'2324 School Size Ranges'!$E$11,'2324 School Size Ranges'!$K$11,IF(H14&lt;'2324 School Size Ranges'!$E$12,'2324 School Size Ranges'!$K$12,IF(H14&lt;'2324 School Size Ranges'!$E$13,'2324 School Size Ranges'!$K$13,IF(H14&lt;'2324 School Size Ranges'!$E$14,'2324 School Size Ranges'!$K$14)))))))))))</f>
        <v>91206.5</v>
      </c>
      <c r="F14" s="694">
        <v>320869</v>
      </c>
      <c r="G14" s="75"/>
      <c r="H14" s="77">
        <f>VLOOKUP(A14,'2324 Band Calculations'!$A$106:$T$122,10,FALSE)</f>
        <v>1229793</v>
      </c>
      <c r="I14" s="77">
        <f>VLOOKUP(A14,'2324 Band Calculations'!$A$106:$T$122,17,FALSE)</f>
        <v>0</v>
      </c>
      <c r="J14" s="75">
        <f>VLOOKUP(A14,'2324 FSM Calculation'!$A$4:$D$20,4,FALSE)</f>
        <v>11536.8</v>
      </c>
      <c r="K14" s="75">
        <f>SUM(D14:J14)</f>
        <v>2048178.55</v>
      </c>
      <c r="L14" s="77">
        <f>K14-F14-G14</f>
        <v>1727309.55</v>
      </c>
      <c r="M14" s="534">
        <f>VLOOKUP(A14,'2324 Band Calculations'!$A$106:$T$122,19,FALSE)</f>
        <v>79</v>
      </c>
      <c r="N14" s="65">
        <f>VLOOKUP(A14,'2324 Band Calculations'!$A$104:$AN$122,40,(FALSE))</f>
        <v>0</v>
      </c>
      <c r="O14" s="81">
        <f>M14-(M14*(VLOOKUP(A14,'2324 Band Calculations'!$A$6:$J$22,10,(FALSE))))</f>
        <v>79</v>
      </c>
      <c r="P14" s="65">
        <f>(H14+I14-N14)/O14</f>
        <v>15567</v>
      </c>
      <c r="Q14" s="524">
        <f>'2324 MFG Protection'!L120</f>
        <v>0</v>
      </c>
      <c r="R14" s="524">
        <f>L14+Q14</f>
        <v>1727309.55</v>
      </c>
      <c r="S14" s="65">
        <f>M14*10000</f>
        <v>790000</v>
      </c>
      <c r="T14" s="65">
        <f>IF(S14&gt;R14,(S14-R14),(0))</f>
        <v>0</v>
      </c>
      <c r="U14" s="72">
        <f>R14/M14</f>
        <v>21864.677848101266</v>
      </c>
      <c r="V14" s="72">
        <f>M14*10000</f>
        <v>790000</v>
      </c>
      <c r="W14" s="72"/>
      <c r="X14" s="72"/>
      <c r="Y14" s="72">
        <f>U14-10000</f>
        <v>11864.677848101266</v>
      </c>
      <c r="Z14" s="75">
        <f>R14-V14</f>
        <v>937309.55</v>
      </c>
      <c r="AA14" s="75">
        <f>V14+Z14</f>
        <v>1727309.55</v>
      </c>
      <c r="AB14" s="75">
        <f>R14-AA14</f>
        <v>0</v>
      </c>
      <c r="AC14" s="15"/>
      <c r="AD14" s="65"/>
      <c r="AE14" s="65"/>
      <c r="AF14" s="65"/>
      <c r="AG14" s="535"/>
      <c r="AH14" s="15"/>
    </row>
    <row r="15" spans="1:34" ht="13" x14ac:dyDescent="0.3">
      <c r="A15" s="74">
        <v>9257032</v>
      </c>
      <c r="B15" s="13" t="s">
        <v>266</v>
      </c>
      <c r="C15" s="536" t="str">
        <f>IF(H15/M15*72&lt;'2324 School Size Ranges'!$E$4,'2324 School Size Ranges'!$D$4,IF(H15/M15*78&lt;'2324 School Size Ranges'!$E$5,'2324 School Size Ranges'!$D$5,IF(H15/M15*72&lt;'2324 School Size Ranges'!$E$6,'2324 School Size Ranges'!$D$6,IF(H15/M15*72&lt;'2324 School Size Ranges'!$E$7,'2324 School Size Ranges'!$D$7,IF(H15/M15*72&lt;'2324 School Size Ranges'!$E$8,'2324 School Size Ranges'!$D$8,IF(H15/M15*72&lt;'2324 School Size Ranges'!$E$9,'2324 School Size Ranges'!$D$9,IF(H15/M15*72&lt;'2324 School Size Ranges'!$E$10,'2324 School Size Ranges'!$D$10,IF(H15/M15*72&lt;'2324 School Size Ranges'!$E$11,'2324 School Size Ranges'!$D$11,IF(H15/M15*72&lt;'2324 School Size Ranges'!$E$12,'2324 School Size Ranges'!$D$12,IF(H15/M15*72&lt;'2324 School Size Ranges'!$E$13,'2324 School Size Ranges'!$D$13,IF(H15/M15*72&lt;'2324 School Size Ranges'!$E$14,'2324 School Size Ranges'!$D$14)))))))))))</f>
        <v>School Size 4 Transition Point</v>
      </c>
      <c r="D15" s="75">
        <f>IF(H15/M15*72&lt;'2324 School Size Ranges'!$E$4,'2324 School Size Ranges'!$J$4,IF(H15/M15*78&lt;'2324 School Size Ranges'!$E$5,'2324 School Size Ranges'!$J$5,IF(H15/M15*72&lt;'2324 School Size Ranges'!$E$6,'2324 School Size Ranges'!$J$6,IF(H15/M15*72&lt;'2324 School Size Ranges'!$E$7,'2324 School Size Ranges'!$J$7,IF(H15/M15*72&lt;'2324 School Size Ranges'!$E$8,'2324 School Size Ranges'!$J$8,IF(H15/M15*72&lt;'2324 School Size Ranges'!$E$9,'2324 School Size Ranges'!$J$9,IF(H15/M15*72&lt;'2324 School Size Ranges'!$E$10,'2324 School Size Ranges'!$J$10,IF(H15/M15*72&lt;'2324 School Size Ranges'!$E$11,'2324 School Size Ranges'!$J$11,IF(H15/M15*72&lt;'2324 School Size Ranges'!$E$12,'2324 School Size Ranges'!$J$12,IF(H15/M15*72&lt;'2324 School Size Ranges'!$E$13,'2324 School Size Ranges'!$J$13,IF(H15/M15*72&lt;'2324 School Size Ranges'!$E$14,'2324 School Size Ranges'!$J$14)))))))))))</f>
        <v>394773.25</v>
      </c>
      <c r="E15" s="75">
        <f>IF(H15/M15*72&lt;'2324 School Size Ranges'!$E$4,'2324 School Size Ranges'!$K$4,IF(H15/M15*78&lt;'2324 School Size Ranges'!$E$5,'2324 School Size Ranges'!$K$5,IF(H15/M15*72&lt;'2324 School Size Ranges'!$E$6,'2324 School Size Ranges'!$K$6,IF(H15/M15*72&lt;'2324 School Size Ranges'!$E$7,'2324 School Size Ranges'!$K$7,IF(H15/M15*72&lt;'2324 School Size Ranges'!$E$8,'2324 School Size Ranges'!$K$8,IF(H15/M15*72&lt;'2324 School Size Ranges'!$E$9,'2324 School Size Ranges'!$K$9,IF(H15/M15*72&lt;'2324 School Size Ranges'!$E$10,'2324 School Size Ranges'!$K$10,IF(H15/M15*72&lt;'2324 School Size Ranges'!$E$11,'2324 School Size Ranges'!$K$11,IF(H15/M15*72&lt;'2324 School Size Ranges'!$E$12,'2324 School Size Ranges'!$K$12,IF(H15/M15*72&lt;'2324 School Size Ranges'!$E$13,'2324 School Size Ranges'!$K$13,IF(H15/M15*72&lt;'2324 School Size Ranges'!$E$14,'2324 School Size Ranges'!$K$14)))))))))))</f>
        <v>91206.5</v>
      </c>
      <c r="F15" s="694">
        <v>284822</v>
      </c>
      <c r="G15" s="669">
        <f>(143800+30900)*1.03</f>
        <v>179941</v>
      </c>
      <c r="H15" s="77">
        <f>VLOOKUP(A15,'2324 Band Calculations'!$A$106:$T$122,10,FALSE)</f>
        <v>1718856.25</v>
      </c>
      <c r="I15" s="77">
        <f>VLOOKUP(A15,'2324 Band Calculations'!$A$106:$T$122,17,FALSE)</f>
        <v>0</v>
      </c>
      <c r="J15" s="75">
        <f>VLOOKUP(A15,'2324 FSM Calculation'!$A$4:$D$20,4,FALSE)</f>
        <v>21631.5</v>
      </c>
      <c r="K15" s="75">
        <f>SUM(D15:J15)</f>
        <v>2691230.5</v>
      </c>
      <c r="L15" s="77">
        <f>K15-F15-G15</f>
        <v>2226467.5</v>
      </c>
      <c r="M15" s="534">
        <f>VLOOKUP(A15,'2324 Band Calculations'!$A$106:$T$122,19,FALSE)</f>
        <v>110.41666666666669</v>
      </c>
      <c r="N15" s="65">
        <f>VLOOKUP(A15,'2324 Band Calculations'!$A$104:$AN$122,40,(FALSE))</f>
        <v>0</v>
      </c>
      <c r="O15" s="81">
        <f>M15-(M15*(VLOOKUP(A15,'2324 Band Calculations'!$A$6:$J$22,10,(FALSE))))</f>
        <v>110.41666666666669</v>
      </c>
      <c r="P15" s="65">
        <f>(H15+I15-N15)/O15</f>
        <v>15566.999999999998</v>
      </c>
      <c r="Q15" s="524">
        <f>'2324 MFG Protection'!L130</f>
        <v>0</v>
      </c>
      <c r="R15" s="524">
        <f>L15+Q15</f>
        <v>2226467.5</v>
      </c>
      <c r="S15" s="65">
        <f>M15*10000</f>
        <v>1104166.6666666667</v>
      </c>
      <c r="T15" s="65">
        <f>IF(S15&gt;R15,(S15-R15),(0))</f>
        <v>0</v>
      </c>
      <c r="U15" s="72">
        <f>R15/M15</f>
        <v>20164.233962264148</v>
      </c>
      <c r="V15" s="72">
        <f>M15*10000</f>
        <v>1104166.6666666667</v>
      </c>
      <c r="W15" s="72"/>
      <c r="X15" s="72"/>
      <c r="Y15" s="72">
        <f>U15-10000</f>
        <v>10164.233962264148</v>
      </c>
      <c r="Z15" s="75">
        <f>R15-V15</f>
        <v>1122300.8333333333</v>
      </c>
      <c r="AA15" s="75">
        <f>V15+Z15</f>
        <v>2226467.5</v>
      </c>
      <c r="AB15" s="75">
        <f>R15-AA15</f>
        <v>0</v>
      </c>
      <c r="AC15" s="15"/>
      <c r="AD15" s="65"/>
      <c r="AE15" s="65"/>
      <c r="AF15" s="65"/>
      <c r="AG15" s="535"/>
      <c r="AH15" s="15"/>
    </row>
    <row r="16" spans="1:34" ht="13" x14ac:dyDescent="0.3">
      <c r="A16" s="74">
        <v>9257030</v>
      </c>
      <c r="B16" s="13" t="s">
        <v>268</v>
      </c>
      <c r="C16" s="536" t="str">
        <f>IF(H16&lt;'2324 School Size Ranges'!$E$4,'2324 School Size Ranges'!$D$4,IF(H16&lt;'2324 School Size Ranges'!$E$5,'2324 School Size Ranges'!$D$5,IF('2324 Funding Detail'!H16&lt;'2324 School Size Ranges'!$E$6,'2324 School Size Ranges'!$D$6,IF(H16&lt;'2324 School Size Ranges'!$E$7,'2324 School Size Ranges'!$D$7,IF(H16&lt;'2324 School Size Ranges'!$E$8,'2324 School Size Ranges'!$D$8,IF(H16&lt;'2324 School Size Ranges'!$E$9,'2324 School Size Ranges'!$D$9,IF(H16&lt;'2324 School Size Ranges'!$E$10,'2324 School Size Ranges'!$D$10,IF(H16&lt;'2324 School Size Ranges'!$E$11,'2324 School Size Ranges'!$D$11,IF(H16&lt;'2324 School Size Ranges'!$E$12,'2324 School Size Ranges'!$D$12,IF(H16&lt;'2324 School Size Ranges'!$E$13,'2324 School Size Ranges'!$D$13,IF(H16&lt;'2324 School Size Ranges'!$E$14,'2324 School Size Ranges'!$D$14)))))))))))</f>
        <v>School Size 4 Transition Point</v>
      </c>
      <c r="D16" s="75">
        <f>IF(H16&lt;'2324 School Size Ranges'!$E$4,'2324 School Size Ranges'!$J$4,IF(H16&lt;'2324 School Size Ranges'!$E$5,'2324 School Size Ranges'!$J$5,IF('2324 Funding Detail'!H16&lt;'2324 School Size Ranges'!$E$6,'2324 School Size Ranges'!$J$6,IF(H16&lt;'2324 School Size Ranges'!$E$7,'2324 School Size Ranges'!$J$7,IF(H16&lt;'2324 School Size Ranges'!$E$8,'2324 School Size Ranges'!$J$8,IF(H16&lt;'2324 School Size Ranges'!$E$9,'2324 School Size Ranges'!$J$9,IF(H16&lt;'2324 School Size Ranges'!$E$10,'2324 School Size Ranges'!$J$10,IF(H16&lt;'2324 School Size Ranges'!$E$11,'2324 School Size Ranges'!$J$11,IF(H16&lt;'2324 School Size Ranges'!$E$12,'2324 School Size Ranges'!$J$12,IF(H16&lt;'2324 School Size Ranges'!$E$13,'2324 School Size Ranges'!$J$13,IF(H16&lt;'2324 School Size Ranges'!$E$14,'2324 School Size Ranges'!$J$14)))))))))))</f>
        <v>394773.25</v>
      </c>
      <c r="E16" s="75">
        <f>IF(H16&lt;'2324 School Size Ranges'!$E$4,'2324 School Size Ranges'!$K$4,IF(H16&lt;'2324 School Size Ranges'!$E$5,'2324 School Size Ranges'!$K$5,IF('2324 Funding Detail'!H16&lt;'2324 School Size Ranges'!$E$6,'2324 School Size Ranges'!$K$6,IF(H16&lt;'2324 School Size Ranges'!$E$7,'2324 School Size Ranges'!$K$7,IF(H16&lt;'2324 School Size Ranges'!$E$8,'2324 School Size Ranges'!$K$8,IF(H16&lt;'2324 School Size Ranges'!$E$9,'2324 School Size Ranges'!$K$9,IF(H16&lt;'2324 School Size Ranges'!$E$10,'2324 School Size Ranges'!$K$10,IF(H16&lt;'2324 School Size Ranges'!$E$11,'2324 School Size Ranges'!$K$11,IF(H16&lt;'2324 School Size Ranges'!$E$12,'2324 School Size Ranges'!$K$12,IF(H16&lt;'2324 School Size Ranges'!$E$13,'2324 School Size Ranges'!$K$13,IF(H16&lt;'2324 School Size Ranges'!$E$14,'2324 School Size Ranges'!$K$14)))))))))))</f>
        <v>91206.5</v>
      </c>
      <c r="F16" s="694">
        <v>349739</v>
      </c>
      <c r="G16" s="75"/>
      <c r="H16" s="77">
        <f>VLOOKUP(A16,'2324 Band Calculations'!$A$106:$T$122,10,FALSE)</f>
        <v>1089690</v>
      </c>
      <c r="I16" s="77">
        <f>VLOOKUP(A16,'2324 Band Calculations'!$A$106:$T$122,17,FALSE)</f>
        <v>0</v>
      </c>
      <c r="J16" s="75">
        <f>VLOOKUP(A16,'2324 FSM Calculation'!$A$4:$D$20,4,FALSE)</f>
        <v>14421</v>
      </c>
      <c r="K16" s="75">
        <f>SUM(D16:J16)</f>
        <v>1939829.75</v>
      </c>
      <c r="L16" s="77">
        <f>K16-F16-G16</f>
        <v>1590090.75</v>
      </c>
      <c r="M16" s="534">
        <f>VLOOKUP(A16,'2324 Band Calculations'!$A$106:$T$122,19,FALSE)</f>
        <v>70</v>
      </c>
      <c r="N16" s="65">
        <f>VLOOKUP(A16,'2324 Band Calculations'!$A$104:$AN$122,40,(FALSE))</f>
        <v>0</v>
      </c>
      <c r="O16" s="81">
        <f>M16-(M16*(VLOOKUP(A16,'2324 Band Calculations'!$A$6:$J$22,10,(FALSE))))</f>
        <v>70</v>
      </c>
      <c r="P16" s="65">
        <f>(H16+I16-N16)/O16</f>
        <v>15567</v>
      </c>
      <c r="Q16" s="524">
        <f>'2324 MFG Protection'!L140</f>
        <v>2871.4524356642</v>
      </c>
      <c r="R16" s="524">
        <f>L16+Q16</f>
        <v>1592962.2024356641</v>
      </c>
      <c r="S16" s="65">
        <f>M16*10000</f>
        <v>700000</v>
      </c>
      <c r="T16" s="65">
        <f>IF(S16&gt;R16,(S16-R16),(0))</f>
        <v>0</v>
      </c>
      <c r="U16" s="72">
        <f>R16/M16</f>
        <v>22756.602891938059</v>
      </c>
      <c r="V16" s="72">
        <f>M16*10000</f>
        <v>700000</v>
      </c>
      <c r="W16" s="72"/>
      <c r="X16" s="72"/>
      <c r="Y16" s="72">
        <f>U16-10000</f>
        <v>12756.602891938059</v>
      </c>
      <c r="Z16" s="75">
        <f>R16-V16</f>
        <v>892962.20243566413</v>
      </c>
      <c r="AA16" s="75">
        <f>V16+Z16</f>
        <v>1592962.2024356641</v>
      </c>
      <c r="AB16" s="75">
        <f>R16-AA16</f>
        <v>0</v>
      </c>
      <c r="AC16" s="15"/>
      <c r="AD16" s="65"/>
      <c r="AE16" s="65"/>
      <c r="AF16" s="65"/>
      <c r="AG16" s="535"/>
      <c r="AH16" s="15"/>
    </row>
    <row r="17" spans="1:34" x14ac:dyDescent="0.25">
      <c r="A17" s="74">
        <v>9257028</v>
      </c>
      <c r="B17" s="67" t="s">
        <v>70</v>
      </c>
      <c r="C17" s="536" t="str">
        <f>IF(H17&lt;'2324 School Size Ranges'!$E$4,'2324 School Size Ranges'!$D$4,IF(H17&lt;'2324 School Size Ranges'!$E$5,'2324 School Size Ranges'!$D$5,IF('2324 Funding Detail'!H17&lt;'2324 School Size Ranges'!$E$6,'2324 School Size Ranges'!$D$6,IF(H17&lt;'2324 School Size Ranges'!$E$7,'2324 School Size Ranges'!$D$7,IF(H17&lt;'2324 School Size Ranges'!$E$8,'2324 School Size Ranges'!$D$8,IF(H17&lt;'2324 School Size Ranges'!$E$9,'2324 School Size Ranges'!$D$9,IF(H17&lt;'2324 School Size Ranges'!$E$10,'2324 School Size Ranges'!$D$10,IF(H17&lt;'2324 School Size Ranges'!$E$11,'2324 School Size Ranges'!$D$11,IF(H17&lt;'2324 School Size Ranges'!$E$12,'2324 School Size Ranges'!$D$12,IF(H17&lt;'2324 School Size Ranges'!$E$13,'2324 School Size Ranges'!$D$13,IF(H17&lt;'2324 School Size Ranges'!$E$14,'2324 School Size Ranges'!$D$14)))))))))))</f>
        <v>School Size 5 Transition Point</v>
      </c>
      <c r="D17" s="75">
        <f>IF(H17&lt;'2324 School Size Ranges'!$E$4,'2324 School Size Ranges'!$H$4,IF(H17&lt;'2324 School Size Ranges'!$E$5,'2324 School Size Ranges'!$H$5,IF('2324 Funding Detail'!H17&lt;'2324 School Size Ranges'!$E$6,'2324 School Size Ranges'!$H$6,IF(H17&lt;'2324 School Size Ranges'!$E$7,'2324 School Size Ranges'!$H$7,IF(H17&lt;'2324 School Size Ranges'!$E$8,'2324 School Size Ranges'!$H$8,IF(H17&lt;'2324 School Size Ranges'!$E$9,'2324 School Size Ranges'!$H$9,IF(H17&lt;'2324 School Size Ranges'!$E$10,'2324 School Size Ranges'!$H$10,IF(H17&lt;'2324 School Size Ranges'!$E$11,'2324 School Size Ranges'!$H$11,IF(H17&lt;'2324 School Size Ranges'!$E$12,'2324 School Size Ranges'!$H$12,IF(H17&lt;'2324 School Size Ranges'!$E$13,'2324 School Size Ranges'!$H$13,IF(H17&lt;'2324 School Size Ranges'!$E$14,'2324 School Size Ranges'!$H$14)))))))))))</f>
        <v>522601.4</v>
      </c>
      <c r="E17" s="75">
        <f>IF(H17&lt;'2324 School Size Ranges'!$E$4,'2324 School Size Ranges'!$I$4,IF(H17&lt;'2324 School Size Ranges'!$E$5,'2324 School Size Ranges'!$I$5,IF('2324 Funding Detail'!H17&lt;'2324 School Size Ranges'!$E$6,'2324 School Size Ranges'!$I$6,IF(H17&lt;'2324 School Size Ranges'!$E$7,'2324 School Size Ranges'!$I$7,IF(H17&lt;'2324 School Size Ranges'!$E$8,'2324 School Size Ranges'!$I$8,IF(H17&lt;'2324 School Size Ranges'!$E$9,'2324 School Size Ranges'!$I$9,IF(H17&lt;'2324 School Size Ranges'!$E$10,'2324 School Size Ranges'!$I$10,IF(H17&lt;'2324 School Size Ranges'!$E$11,'2324 School Size Ranges'!$I$11,IF(H17&lt;'2324 School Size Ranges'!$E$12,'2324 School Size Ranges'!$I$12,IF(H17&lt;'2324 School Size Ranges'!$E$13,'2324 School Size Ranges'!$I$13,IF(H17&lt;'2324 School Size Ranges'!$E$14,'2324 School Size Ranges'!$I$14)))))))))))</f>
        <v>137917</v>
      </c>
      <c r="F17" s="75"/>
      <c r="G17" s="75"/>
      <c r="H17" s="77">
        <f>VLOOKUP(A17,'2324 Band Calculations'!$A$106:$T$122,10,FALSE)</f>
        <v>1760286.9508196723</v>
      </c>
      <c r="I17" s="77">
        <f>VLOOKUP(A17,'2324 Band Calculations'!$A$106:$T$122,17,FALSE)</f>
        <v>0</v>
      </c>
      <c r="J17" s="75">
        <f>VLOOKUP(A17,'2324 FSM Calculation'!$A$4:$D$20,4,FALSE)</f>
        <v>12017.5</v>
      </c>
      <c r="K17" s="75">
        <f t="shared" si="0"/>
        <v>2432822.8508196725</v>
      </c>
      <c r="L17" s="77">
        <f t="shared" si="2"/>
        <v>2432822.8508196725</v>
      </c>
      <c r="M17" s="534">
        <f>VLOOKUP(A17,'2324 Band Calculations'!$A$106:$T$122,19,FALSE)</f>
        <v>138.66666666666669</v>
      </c>
      <c r="N17" s="65">
        <f>VLOOKUP(A17,'2324 Band Calculations'!$A$104:$AN$122,40,(FALSE))</f>
        <v>499322.75409836054</v>
      </c>
      <c r="O17" s="81">
        <f>M17-(M17*(VLOOKUP(A17,'2324 Band Calculations'!$A$6:$J$22,10,(FALSE))))</f>
        <v>118.20765027322406</v>
      </c>
      <c r="P17" s="65">
        <f t="shared" si="3"/>
        <v>10667.365384615385</v>
      </c>
      <c r="Q17" s="524">
        <f>'2324 MFG Protection'!L150</f>
        <v>0</v>
      </c>
      <c r="R17" s="524">
        <f t="shared" si="4"/>
        <v>2432822.8508196725</v>
      </c>
      <c r="S17" s="65">
        <f t="shared" si="5"/>
        <v>1386666.6666666667</v>
      </c>
      <c r="T17" s="65">
        <f t="shared" si="6"/>
        <v>0</v>
      </c>
      <c r="U17" s="72">
        <f t="shared" si="7"/>
        <v>17544.395558795713</v>
      </c>
      <c r="V17" s="72">
        <f t="shared" si="1"/>
        <v>1386666.6666666667</v>
      </c>
      <c r="W17" s="72"/>
      <c r="X17" s="72"/>
      <c r="Y17" s="72">
        <f t="shared" si="8"/>
        <v>7544.3955587957134</v>
      </c>
      <c r="Z17" s="75">
        <f t="shared" si="9"/>
        <v>1046156.1841530057</v>
      </c>
      <c r="AA17" s="75">
        <f t="shared" si="10"/>
        <v>2432822.8508196725</v>
      </c>
      <c r="AB17" s="75">
        <f t="shared" si="11"/>
        <v>0</v>
      </c>
      <c r="AC17" s="15"/>
      <c r="AD17" s="65"/>
      <c r="AE17" s="65"/>
      <c r="AF17" s="65"/>
      <c r="AG17" s="535"/>
      <c r="AH17" s="15"/>
    </row>
    <row r="18" spans="1:34" x14ac:dyDescent="0.25">
      <c r="A18" s="74">
        <v>9257021</v>
      </c>
      <c r="B18" s="67" t="s">
        <v>263</v>
      </c>
      <c r="C18" s="536" t="str">
        <f>IF(H18&lt;'2324 School Size Ranges'!$E$4,'2324 School Size Ranges'!$D$4,IF(H18&lt;'2324 School Size Ranges'!$E$5,'2324 School Size Ranges'!$D$5,IF('2324 Funding Detail'!H18&lt;'2324 School Size Ranges'!$E$6,'2324 School Size Ranges'!$D$6,IF(H18&lt;'2324 School Size Ranges'!$E$7,'2324 School Size Ranges'!$D$7,IF(H18&lt;'2324 School Size Ranges'!$E$8,'2324 School Size Ranges'!$D$8,IF(H18&lt;'2324 School Size Ranges'!$E$9,'2324 School Size Ranges'!$D$9,IF(H18&lt;'2324 School Size Ranges'!$E$10,'2324 School Size Ranges'!$D$10,IF(H18&lt;'2324 School Size Ranges'!$E$11,'2324 School Size Ranges'!$D$11,IF(H18&lt;'2324 School Size Ranges'!$E$12,'2324 School Size Ranges'!$D$12,IF(H18&lt;'2324 School Size Ranges'!$E$13,'2324 School Size Ranges'!$D$13,IF(H18&lt;'2324 School Size Ranges'!$E$14,'2324 School Size Ranges'!$D$14)))))))))))</f>
        <v>School Size 5 Transition Point</v>
      </c>
      <c r="D18" s="75">
        <f>IF(H18&lt;'2324 School Size Ranges'!$E$4,'2324 School Size Ranges'!$H$4,IF(H18&lt;'2324 School Size Ranges'!$E$5,'2324 School Size Ranges'!$H$5,IF('2324 Funding Detail'!H18&lt;'2324 School Size Ranges'!$E$6,'2324 School Size Ranges'!$H$6,IF(H18&lt;'2324 School Size Ranges'!$E$7,'2324 School Size Ranges'!$H$7,IF(H18&lt;'2324 School Size Ranges'!$E$8,'2324 School Size Ranges'!$H$8,IF(H18&lt;'2324 School Size Ranges'!$E$9,'2324 School Size Ranges'!$H$9,IF(H18&lt;'2324 School Size Ranges'!$E$10,'2324 School Size Ranges'!$H$10,IF(H18&lt;'2324 School Size Ranges'!$E$11,'2324 School Size Ranges'!$H$11,IF(H18&lt;'2324 School Size Ranges'!$E$12,'2324 School Size Ranges'!$H$12,IF(H18&lt;'2324 School Size Ranges'!$E$13,'2324 School Size Ranges'!$H$13,IF(H18&lt;'2324 School Size Ranges'!$E$14,'2324 School Size Ranges'!$H$14)))))))))))</f>
        <v>522601.4</v>
      </c>
      <c r="E18" s="75">
        <f>IF(H18&lt;'2324 School Size Ranges'!$E$4,'2324 School Size Ranges'!$I$4,IF(H18&lt;'2324 School Size Ranges'!$E$5,'2324 School Size Ranges'!$I$5,IF('2324 Funding Detail'!H18&lt;'2324 School Size Ranges'!$E$6,'2324 School Size Ranges'!$I$6,IF(H18&lt;'2324 School Size Ranges'!$E$7,'2324 School Size Ranges'!$I$7,IF(H18&lt;'2324 School Size Ranges'!$E$8,'2324 School Size Ranges'!$I$8,IF(H18&lt;'2324 School Size Ranges'!$E$9,'2324 School Size Ranges'!$I$9,IF(H18&lt;'2324 School Size Ranges'!$E$10,'2324 School Size Ranges'!$I$10,IF(H18&lt;'2324 School Size Ranges'!$E$11,'2324 School Size Ranges'!$I$11,IF(H18&lt;'2324 School Size Ranges'!$E$12,'2324 School Size Ranges'!$I$12,IF(H18&lt;'2324 School Size Ranges'!$E$13,'2324 School Size Ranges'!$I$13,IF(H18&lt;'2324 School Size Ranges'!$E$14,'2324 School Size Ranges'!$I$14)))))))))))</f>
        <v>137917</v>
      </c>
      <c r="F18" s="75"/>
      <c r="G18" s="75"/>
      <c r="H18" s="77">
        <f>VLOOKUP(A18,'2324 Band Calculations'!$A$106:$T$122,10,FALSE)</f>
        <v>1761222.4490196081</v>
      </c>
      <c r="I18" s="77">
        <f>VLOOKUP(A18,'2324 Band Calculations'!$A$106:$T$122,17,FALSE)</f>
        <v>0</v>
      </c>
      <c r="J18" s="75">
        <f>VLOOKUP(A18,'2324 FSM Calculation'!$A$4:$D$20,4,FALSE)</f>
        <v>31245.5</v>
      </c>
      <c r="K18" s="75">
        <f t="shared" si="0"/>
        <v>2452986.349019608</v>
      </c>
      <c r="L18" s="77">
        <f t="shared" si="2"/>
        <v>2452986.349019608</v>
      </c>
      <c r="M18" s="534">
        <f>VLOOKUP(A18,'2324 Band Calculations'!$A$106:$T$122,19,FALSE)</f>
        <v>178.58333333333334</v>
      </c>
      <c r="N18" s="65">
        <f>VLOOKUP(A18,'2324 Band Calculations'!$A$104:$AN$122,40,(FALSE))</f>
        <v>51276.527450980386</v>
      </c>
      <c r="O18" s="81">
        <f>M18-(M18*(VLOOKUP(A18,'2324 Band Calculations'!$A$6:$J$22,10,(FALSE))))</f>
        <v>176.48235294117649</v>
      </c>
      <c r="P18" s="65">
        <f t="shared" si="3"/>
        <v>9689.0476190476202</v>
      </c>
      <c r="Q18" s="524">
        <f>'2324 MFG Protection'!L160</f>
        <v>0</v>
      </c>
      <c r="R18" s="524">
        <f t="shared" si="4"/>
        <v>2452986.349019608</v>
      </c>
      <c r="S18" s="65">
        <f t="shared" si="5"/>
        <v>1785833.3333333335</v>
      </c>
      <c r="T18" s="65">
        <f t="shared" si="6"/>
        <v>0</v>
      </c>
      <c r="U18" s="72">
        <f t="shared" si="7"/>
        <v>13735.807833987537</v>
      </c>
      <c r="V18" s="72">
        <f t="shared" si="1"/>
        <v>1785833.3333333335</v>
      </c>
      <c r="W18" s="72"/>
      <c r="X18" s="72"/>
      <c r="Y18" s="72">
        <f t="shared" si="8"/>
        <v>3735.8078339875374</v>
      </c>
      <c r="Z18" s="75">
        <f t="shared" si="9"/>
        <v>667153.01568627451</v>
      </c>
      <c r="AA18" s="75">
        <f t="shared" si="10"/>
        <v>2452986.349019608</v>
      </c>
      <c r="AB18" s="75">
        <f t="shared" si="11"/>
        <v>0</v>
      </c>
      <c r="AC18" s="15"/>
      <c r="AD18" s="65"/>
      <c r="AE18" s="65"/>
      <c r="AF18" s="65"/>
      <c r="AG18" s="535"/>
      <c r="AH18" s="15"/>
    </row>
    <row r="19" spans="1:34" ht="12.75" customHeight="1" x14ac:dyDescent="0.25">
      <c r="A19" s="74">
        <v>9257015</v>
      </c>
      <c r="B19" s="67" t="s">
        <v>72</v>
      </c>
      <c r="C19" s="536" t="str">
        <f>IF(H19&lt;'2324 School Size Ranges'!$E$4,'2324 School Size Ranges'!$D$4,IF(H19&lt;'2324 School Size Ranges'!$E$5,'2324 School Size Ranges'!$D$5,IF('2324 Funding Detail'!H19&lt;'2324 School Size Ranges'!$E$6,'2324 School Size Ranges'!$D$6,IF(H19&lt;'2324 School Size Ranges'!$E$7,'2324 School Size Ranges'!$D$7,IF(H19&lt;'2324 School Size Ranges'!$E$8,'2324 School Size Ranges'!$D$8,IF(H19&lt;'2324 School Size Ranges'!$E$9,'2324 School Size Ranges'!$D$9,IF(H19&lt;'2324 School Size Ranges'!$E$10,'2324 School Size Ranges'!$D$10,IF(H19&lt;'2324 School Size Ranges'!$E$11,'2324 School Size Ranges'!$D$11,IF(H19&lt;'2324 School Size Ranges'!$E$12,'2324 School Size Ranges'!$D$12,IF(H19&lt;'2324 School Size Ranges'!$E$13,'2324 School Size Ranges'!$D$13,IF(H19&lt;'2324 School Size Ranges'!$E$14,'2324 School Size Ranges'!$D$14)))))))))))</f>
        <v>School Size 6 Transition Point</v>
      </c>
      <c r="D19" s="75">
        <f>IF(H19&lt;'2324 School Size Ranges'!$E$4,'2324 School Size Ranges'!$H$4,IF(H19&lt;'2324 School Size Ranges'!$E$5,'2324 School Size Ranges'!$H$5,IF('2324 Funding Detail'!H19&lt;'2324 School Size Ranges'!$E$6,'2324 School Size Ranges'!$H$6,IF(H19&lt;'2324 School Size Ranges'!$E$7,'2324 School Size Ranges'!$H$7,IF(H19&lt;'2324 School Size Ranges'!$E$8,'2324 School Size Ranges'!$H$8,IF(H19&lt;'2324 School Size Ranges'!$E$9,'2324 School Size Ranges'!$H$9,IF(H19&lt;'2324 School Size Ranges'!$E$10,'2324 School Size Ranges'!$H$10,IF(H19&lt;'2324 School Size Ranges'!$E$11,'2324 School Size Ranges'!$H$11,IF(H19&lt;'2324 School Size Ranges'!$E$12,'2324 School Size Ranges'!$H$12,IF(H19&lt;'2324 School Size Ranges'!$E$13,'2324 School Size Ranges'!$H$13,IF(H19&lt;'2324 School Size Ranges'!$E$14,'2324 School Size Ranges'!$H$14)))))))))))</f>
        <v>615208.69999999995</v>
      </c>
      <c r="E19" s="75">
        <f>IF(H19&lt;'2324 School Size Ranges'!$E$4,'2324 School Size Ranges'!$I$4,IF(H19&lt;'2324 School Size Ranges'!$E$5,'2324 School Size Ranges'!$I$5,IF('2324 Funding Detail'!H19&lt;'2324 School Size Ranges'!$E$6,'2324 School Size Ranges'!$I$6,IF(H19&lt;'2324 School Size Ranges'!$E$7,'2324 School Size Ranges'!$I$7,IF(H19&lt;'2324 School Size Ranges'!$E$8,'2324 School Size Ranges'!$I$8,IF(H19&lt;'2324 School Size Ranges'!$E$9,'2324 School Size Ranges'!$I$9,IF(H19&lt;'2324 School Size Ranges'!$E$10,'2324 School Size Ranges'!$I$10,IF(H19&lt;'2324 School Size Ranges'!$E$11,'2324 School Size Ranges'!$I$11,IF(H19&lt;'2324 School Size Ranges'!$E$12,'2324 School Size Ranges'!$I$12,IF(H19&lt;'2324 School Size Ranges'!$E$13,'2324 School Size Ranges'!$I$13,IF(H19&lt;'2324 School Size Ranges'!$E$14,'2324 School Size Ranges'!$I$14)))))))))))</f>
        <v>153830.5</v>
      </c>
      <c r="F19" s="75"/>
      <c r="G19" s="75">
        <v>551998</v>
      </c>
      <c r="H19" s="77">
        <f>VLOOKUP(A19,'2324 Band Calculations'!$A$106:$T$122,10,FALSE)</f>
        <v>2426041.5943952803</v>
      </c>
      <c r="I19" s="77">
        <f>VLOOKUP(A19,'2324 Band Calculations'!$A$106:$T$122,17,FALSE)</f>
        <v>0</v>
      </c>
      <c r="J19" s="75">
        <f>VLOOKUP(A19,'2324 FSM Calculation'!$A$4:$D$20,4,FALSE)</f>
        <v>59606.799999999996</v>
      </c>
      <c r="K19" s="75">
        <f t="shared" si="0"/>
        <v>3806685.5943952799</v>
      </c>
      <c r="L19" s="77">
        <f t="shared" si="2"/>
        <v>3254687.5943952799</v>
      </c>
      <c r="M19" s="534">
        <f>VLOOKUP(A19,'2324 Band Calculations'!$A$106:$T$122,19,FALSE)</f>
        <v>234.33333333333337</v>
      </c>
      <c r="N19" s="65">
        <f>VLOOKUP(A19,'2324 Band Calculations'!$A$104:$AN$122,40,(FALSE))</f>
        <v>101223.70501474924</v>
      </c>
      <c r="O19" s="81">
        <f>M19-(M19*(VLOOKUP(A19,'2324 Band Calculations'!$A$6:$J$22,10,(FALSE))))</f>
        <v>230.18584070796464</v>
      </c>
      <c r="P19" s="65">
        <f t="shared" si="3"/>
        <v>10099.743243243242</v>
      </c>
      <c r="Q19" s="524">
        <f>'2324 MFG Protection'!L170</f>
        <v>0</v>
      </c>
      <c r="R19" s="524">
        <f t="shared" si="4"/>
        <v>3254687.5943952799</v>
      </c>
      <c r="S19" s="65">
        <f t="shared" si="5"/>
        <v>2343333.3333333335</v>
      </c>
      <c r="T19" s="65">
        <f t="shared" si="6"/>
        <v>0</v>
      </c>
      <c r="U19" s="72">
        <f t="shared" si="7"/>
        <v>13889.136249197494</v>
      </c>
      <c r="V19" s="72">
        <f t="shared" si="1"/>
        <v>2343333.3333333335</v>
      </c>
      <c r="W19" s="72"/>
      <c r="X19" s="72"/>
      <c r="Y19" s="72">
        <f t="shared" si="8"/>
        <v>3889.1362491974942</v>
      </c>
      <c r="Z19" s="75">
        <f t="shared" si="9"/>
        <v>911354.2610619464</v>
      </c>
      <c r="AA19" s="75">
        <f t="shared" si="10"/>
        <v>3254687.5943952799</v>
      </c>
      <c r="AB19" s="75">
        <f t="shared" si="11"/>
        <v>0</v>
      </c>
      <c r="AC19" s="15"/>
      <c r="AD19" s="65"/>
      <c r="AE19" s="65"/>
      <c r="AF19" s="65"/>
      <c r="AG19" s="535"/>
      <c r="AH19" s="15"/>
    </row>
    <row r="20" spans="1:34" x14ac:dyDescent="0.25">
      <c r="A20" s="74">
        <v>9257016</v>
      </c>
      <c r="B20" s="67" t="s">
        <v>73</v>
      </c>
      <c r="C20" s="536" t="str">
        <f>IF(H20&lt;'2324 School Size Ranges'!$E$4,'2324 School Size Ranges'!$D$4,IF(H20&lt;'2324 School Size Ranges'!$E$5,'2324 School Size Ranges'!$D$5,IF('2324 Funding Detail'!H20&lt;'2324 School Size Ranges'!$E$6,'2324 School Size Ranges'!$D$6,IF(H20&lt;'2324 School Size Ranges'!$E$7,'2324 School Size Ranges'!$D$7,IF(H20&lt;'2324 School Size Ranges'!$E$8,'2324 School Size Ranges'!$D$8,IF(H20&lt;'2324 School Size Ranges'!$E$9,'2324 School Size Ranges'!$D$9,IF(H20&lt;'2324 School Size Ranges'!$E$10,'2324 School Size Ranges'!$D$10,IF(H20&lt;'2324 School Size Ranges'!$E$11,'2324 School Size Ranges'!$D$11,IF(H20&lt;'2324 School Size Ranges'!$E$12,'2324 School Size Ranges'!$D$12,IF(H20&lt;'2324 School Size Ranges'!$E$13,'2324 School Size Ranges'!$D$13,IF(H20&lt;'2324 School Size Ranges'!$E$14,'2324 School Size Ranges'!$D$14)))))))))))</f>
        <v>School Size 6 Transition Point</v>
      </c>
      <c r="D20" s="75">
        <f>IF(H20&lt;'2324 School Size Ranges'!$E$4,'2324 School Size Ranges'!$H$4,IF(H20&lt;'2324 School Size Ranges'!$E$5,'2324 School Size Ranges'!$H$5,IF('2324 Funding Detail'!H20&lt;'2324 School Size Ranges'!$E$6,'2324 School Size Ranges'!$H$6,IF(H20&lt;'2324 School Size Ranges'!$E$7,'2324 School Size Ranges'!$H$7,IF(H20&lt;'2324 School Size Ranges'!$E$8,'2324 School Size Ranges'!$H$8,IF(H20&lt;'2324 School Size Ranges'!$E$9,'2324 School Size Ranges'!$H$9,IF(H20&lt;'2324 School Size Ranges'!$E$10,'2324 School Size Ranges'!$H$10,IF(H20&lt;'2324 School Size Ranges'!$E$11,'2324 School Size Ranges'!$H$11,IF(H20&lt;'2324 School Size Ranges'!$E$12,'2324 School Size Ranges'!$H$12,IF(H20&lt;'2324 School Size Ranges'!$E$13,'2324 School Size Ranges'!$H$13,IF(H20&lt;'2324 School Size Ranges'!$E$14,'2324 School Size Ranges'!$H$14)))))))))))</f>
        <v>615208.69999999995</v>
      </c>
      <c r="E20" s="75">
        <f>IF(H20&lt;'2324 School Size Ranges'!$E$4,'2324 School Size Ranges'!$I$4,IF(H20&lt;'2324 School Size Ranges'!$E$5,'2324 School Size Ranges'!$I$5,IF('2324 Funding Detail'!H20&lt;'2324 School Size Ranges'!$E$6,'2324 School Size Ranges'!$I$6,IF(H20&lt;'2324 School Size Ranges'!$E$7,'2324 School Size Ranges'!$I$7,IF(H20&lt;'2324 School Size Ranges'!$E$8,'2324 School Size Ranges'!$I$8,IF(H20&lt;'2324 School Size Ranges'!$E$9,'2324 School Size Ranges'!$I$9,IF(H20&lt;'2324 School Size Ranges'!$E$10,'2324 School Size Ranges'!$I$10,IF(H20&lt;'2324 School Size Ranges'!$E$11,'2324 School Size Ranges'!$I$11,IF(H20&lt;'2324 School Size Ranges'!$E$12,'2324 School Size Ranges'!$I$12,IF(H20&lt;'2324 School Size Ranges'!$E$13,'2324 School Size Ranges'!$I$13,IF(H20&lt;'2324 School Size Ranges'!$E$14,'2324 School Size Ranges'!$I$14)))))))))))</f>
        <v>153830.5</v>
      </c>
      <c r="F20" s="75"/>
      <c r="G20" s="75"/>
      <c r="H20" s="77">
        <f>VLOOKUP(A20,'2324 Band Calculations'!$A$106:$T$122,10,FALSE)</f>
        <v>2464094.6604166673</v>
      </c>
      <c r="I20" s="77">
        <f>VLOOKUP(A20,'2324 Band Calculations'!$A$106:$T$122,17,FALSE)</f>
        <v>0</v>
      </c>
      <c r="J20" s="75">
        <f>VLOOKUP(A20,'2324 FSM Calculation'!$A$4:$D$20,4,FALSE)</f>
        <v>20670.099999999999</v>
      </c>
      <c r="K20" s="75">
        <f t="shared" si="0"/>
        <v>3253803.9604166676</v>
      </c>
      <c r="L20" s="77">
        <f>K20-F20-G20</f>
        <v>3253803.9604166676</v>
      </c>
      <c r="M20" s="534">
        <f>VLOOKUP(A20,'2324 Band Calculations'!$A$106:$T$122,19,FALSE)</f>
        <v>165.16666666666669</v>
      </c>
      <c r="N20" s="65">
        <f>VLOOKUP(A20,'2324 Band Calculations'!$A$104:$AN$122,40,(FALSE))</f>
        <v>856599.75416666653</v>
      </c>
      <c r="O20" s="81">
        <f>M20-(M20*(VLOOKUP(A20,'2324 Band Calculations'!$A$6:$J$22,10,(FALSE))))</f>
        <v>130.06875000000002</v>
      </c>
      <c r="P20" s="65">
        <f t="shared" si="3"/>
        <v>12358.809523809528</v>
      </c>
      <c r="Q20" s="524">
        <f>'2324 MFG Protection'!L180</f>
        <v>0</v>
      </c>
      <c r="R20" s="524">
        <f>L20+Q20</f>
        <v>3253803.9604166676</v>
      </c>
      <c r="S20" s="65">
        <f t="shared" si="5"/>
        <v>1651666.6666666667</v>
      </c>
      <c r="T20" s="65">
        <f t="shared" si="6"/>
        <v>0</v>
      </c>
      <c r="U20" s="72">
        <f t="shared" si="7"/>
        <v>19700.124886478308</v>
      </c>
      <c r="V20" s="72">
        <f t="shared" si="1"/>
        <v>1651666.6666666667</v>
      </c>
      <c r="W20" s="72"/>
      <c r="X20" s="72"/>
      <c r="Y20" s="72">
        <f t="shared" si="8"/>
        <v>9700.1248864783083</v>
      </c>
      <c r="Z20" s="75">
        <f t="shared" si="9"/>
        <v>1602137.2937500009</v>
      </c>
      <c r="AA20" s="75">
        <f t="shared" si="10"/>
        <v>3253803.9604166676</v>
      </c>
      <c r="AB20" s="75">
        <f t="shared" si="11"/>
        <v>0</v>
      </c>
      <c r="AC20" s="15"/>
      <c r="AD20" s="65"/>
      <c r="AE20" s="65"/>
      <c r="AF20" s="65"/>
      <c r="AG20" s="535"/>
      <c r="AH20" s="15"/>
    </row>
    <row r="21" spans="1:34" x14ac:dyDescent="0.25">
      <c r="A21" s="78"/>
      <c r="B21" s="15"/>
      <c r="C21" s="64"/>
      <c r="D21" s="65"/>
      <c r="E21" s="65"/>
      <c r="F21" s="65"/>
      <c r="G21" s="65"/>
      <c r="H21" s="65"/>
      <c r="I21" s="65"/>
      <c r="J21" s="65"/>
      <c r="K21" s="64"/>
      <c r="L21" s="15"/>
      <c r="M21" s="64"/>
      <c r="N21" s="15"/>
      <c r="O21" s="15"/>
      <c r="P21" s="15"/>
      <c r="Q21" s="15"/>
      <c r="R21" s="15"/>
      <c r="S21" s="15"/>
      <c r="T21" s="15"/>
      <c r="U21" s="65"/>
      <c r="V21" s="64"/>
      <c r="W21" s="64"/>
      <c r="X21" s="64"/>
      <c r="Y21" s="64"/>
      <c r="Z21" s="15"/>
      <c r="AA21" s="15"/>
      <c r="AB21" s="64"/>
      <c r="AC21" s="15"/>
      <c r="AD21" s="15"/>
      <c r="AE21" s="15"/>
      <c r="AF21" s="15"/>
      <c r="AG21" s="15"/>
      <c r="AH21" s="15"/>
    </row>
    <row r="22" spans="1:34" ht="13.5" customHeight="1" thickBot="1" x14ac:dyDescent="0.3">
      <c r="A22" s="78"/>
      <c r="B22" s="15"/>
      <c r="C22" s="15"/>
      <c r="D22" s="79">
        <f>SUM(D4:D20)</f>
        <v>7969939.1500000013</v>
      </c>
      <c r="E22" s="79">
        <f t="shared" ref="E22:O22" si="12">SUM(E4:E20)</f>
        <v>2083484</v>
      </c>
      <c r="F22" s="79">
        <f t="shared" si="12"/>
        <v>1182256</v>
      </c>
      <c r="G22" s="79">
        <f t="shared" si="12"/>
        <v>1084343.2</v>
      </c>
      <c r="H22" s="79">
        <f t="shared" si="12"/>
        <v>25715130.768356819</v>
      </c>
      <c r="I22" s="79">
        <f t="shared" si="12"/>
        <v>0</v>
      </c>
      <c r="J22" s="79">
        <f t="shared" si="12"/>
        <v>383598.59999999992</v>
      </c>
      <c r="K22" s="79">
        <f t="shared" si="12"/>
        <v>38418751.718356825</v>
      </c>
      <c r="L22" s="79">
        <f t="shared" si="12"/>
        <v>36152152.51835683</v>
      </c>
      <c r="M22" s="80">
        <f t="shared" si="12"/>
        <v>2184.5833333333335</v>
      </c>
      <c r="N22" s="79">
        <f t="shared" si="12"/>
        <v>2568117.9419588335</v>
      </c>
      <c r="O22" s="80">
        <f t="shared" si="12"/>
        <v>2079.3584729728145</v>
      </c>
      <c r="P22" s="80"/>
      <c r="Q22" s="79">
        <f>SUM(Q4:Q20)</f>
        <v>91320.990562931634</v>
      </c>
      <c r="R22" s="79">
        <f>SUM(R4:R20)</f>
        <v>36243473.508919761</v>
      </c>
      <c r="S22" s="79">
        <f>SUM(S4:S20)</f>
        <v>21845833.333333332</v>
      </c>
      <c r="T22" s="15"/>
      <c r="U22" s="65"/>
      <c r="V22" s="79">
        <f>SUM(V4:V20)</f>
        <v>21845833.333333332</v>
      </c>
      <c r="W22" s="79">
        <f>SUM(W4:W20)</f>
        <v>0</v>
      </c>
      <c r="X22" s="79">
        <f>SUM(X4:X20)</f>
        <v>0</v>
      </c>
      <c r="Y22" s="65"/>
      <c r="Z22" s="79">
        <f>SUM(Z4:Z20)</f>
        <v>14397640.175586417</v>
      </c>
      <c r="AA22" s="79">
        <f>SUM(AA4:AA20)</f>
        <v>36243473.508919761</v>
      </c>
      <c r="AB22" s="64"/>
      <c r="AC22" s="15"/>
      <c r="AD22" s="15"/>
      <c r="AE22" s="15"/>
      <c r="AF22" s="15"/>
      <c r="AG22" s="15"/>
      <c r="AH22" s="15"/>
    </row>
    <row r="23" spans="1:34" ht="13" x14ac:dyDescent="0.3">
      <c r="A23" s="78"/>
      <c r="B23" s="15"/>
      <c r="C23" s="386"/>
      <c r="D23" s="385"/>
      <c r="E23" s="385"/>
      <c r="F23" s="385"/>
      <c r="G23" s="385"/>
      <c r="H23" s="385"/>
      <c r="I23" s="385"/>
      <c r="J23" s="385"/>
      <c r="K23" s="385"/>
      <c r="L23" s="387"/>
      <c r="M23" s="387"/>
      <c r="N23" s="385"/>
      <c r="O23" s="388"/>
      <c r="P23" s="385"/>
      <c r="Q23" s="385"/>
      <c r="R23" s="385"/>
      <c r="S23" s="76"/>
      <c r="T23" s="15"/>
      <c r="U23" s="65"/>
      <c r="V23" s="65"/>
      <c r="W23" s="65"/>
      <c r="X23" s="65"/>
      <c r="Y23" s="78"/>
      <c r="Z23" s="15"/>
      <c r="AA23" s="15"/>
      <c r="AB23" s="64"/>
      <c r="AC23" s="15"/>
      <c r="AD23" s="15"/>
      <c r="AE23" s="15"/>
      <c r="AF23" s="15"/>
      <c r="AG23" s="15"/>
      <c r="AH23" s="78"/>
    </row>
    <row r="24" spans="1:34" ht="13" x14ac:dyDescent="0.3">
      <c r="A24" s="15"/>
      <c r="B24" s="355" t="s">
        <v>340</v>
      </c>
      <c r="C24" s="64"/>
      <c r="D24" s="566">
        <f>D22-D45</f>
        <v>327244.1500000013</v>
      </c>
      <c r="E24" s="566">
        <f>E22-E45</f>
        <v>81284</v>
      </c>
      <c r="F24" s="574"/>
      <c r="G24" s="566">
        <f>G22-G45</f>
        <v>515763.19999999995</v>
      </c>
      <c r="H24" s="566">
        <f>H22-H45</f>
        <v>1748994.2156672738</v>
      </c>
      <c r="I24" s="566"/>
      <c r="J24" s="566">
        <f>J22-J45</f>
        <v>41948.199999999895</v>
      </c>
      <c r="K24" s="566">
        <f>K22-K45</f>
        <v>2852269.7656672746</v>
      </c>
      <c r="L24" s="566"/>
      <c r="M24" s="657">
        <f>M22-M45</f>
        <v>97.583333333333485</v>
      </c>
      <c r="N24" s="15"/>
      <c r="O24" s="361"/>
      <c r="P24" s="361"/>
      <c r="Q24" s="691">
        <f>Q22-'2223 Funding Detail'!Q22</f>
        <v>-34.183957567423931</v>
      </c>
      <c r="R24" s="15"/>
      <c r="S24" s="15"/>
      <c r="T24" s="15"/>
      <c r="U24" s="65"/>
      <c r="V24" s="64"/>
      <c r="W24" s="64"/>
      <c r="X24" s="64"/>
      <c r="Y24" s="64"/>
      <c r="Z24" s="64"/>
      <c r="AA24" s="64" t="s">
        <v>336</v>
      </c>
      <c r="AB24" s="64"/>
      <c r="AC24" s="15"/>
      <c r="AD24" s="15"/>
      <c r="AE24" s="15"/>
      <c r="AF24" s="15"/>
      <c r="AG24" s="15"/>
      <c r="AH24" s="15"/>
    </row>
    <row r="25" spans="1:34" ht="13" x14ac:dyDescent="0.3">
      <c r="A25" s="15"/>
      <c r="B25" s="64"/>
      <c r="C25" s="15"/>
      <c r="D25" s="65"/>
      <c r="E25" s="375"/>
      <c r="F25" s="64"/>
      <c r="G25" s="64"/>
      <c r="H25" s="15"/>
      <c r="I25" s="76"/>
      <c r="J25" s="15"/>
      <c r="K25" s="64"/>
      <c r="L25" s="15"/>
      <c r="M25" s="81"/>
      <c r="N25" s="15"/>
      <c r="O25" s="15"/>
      <c r="P25" s="15"/>
      <c r="Q25" s="15" t="s">
        <v>306</v>
      </c>
      <c r="R25" s="65">
        <f>'2223 Funding Detail'!R22</f>
        <v>34044037.127210051</v>
      </c>
      <c r="S25" s="385"/>
      <c r="T25" s="15"/>
      <c r="U25" s="65"/>
      <c r="V25" s="64"/>
      <c r="W25" s="64"/>
      <c r="X25" s="64"/>
      <c r="Y25" s="64"/>
      <c r="Z25" s="64"/>
      <c r="AA25" s="15"/>
      <c r="AB25" s="64"/>
      <c r="AC25" s="15"/>
      <c r="AD25" s="15"/>
      <c r="AE25" s="15"/>
      <c r="AF25" s="15"/>
      <c r="AG25" s="15"/>
      <c r="AH25" s="15"/>
    </row>
    <row r="26" spans="1:34" ht="37.5" x14ac:dyDescent="0.25">
      <c r="A26" s="66" t="s">
        <v>48</v>
      </c>
      <c r="B26" s="67" t="s">
        <v>49</v>
      </c>
      <c r="C26" s="71" t="s">
        <v>322</v>
      </c>
      <c r="D26" s="70" t="s">
        <v>13</v>
      </c>
      <c r="E26" s="70" t="s">
        <v>14</v>
      </c>
      <c r="F26" s="68" t="s">
        <v>43</v>
      </c>
      <c r="G26" s="68" t="s">
        <v>51</v>
      </c>
      <c r="H26" s="71" t="s">
        <v>52</v>
      </c>
      <c r="I26" s="71" t="s">
        <v>323</v>
      </c>
      <c r="J26" s="71" t="s">
        <v>53</v>
      </c>
      <c r="K26" s="68" t="s">
        <v>54</v>
      </c>
      <c r="L26" s="71" t="s">
        <v>55</v>
      </c>
      <c r="M26" s="71" t="s">
        <v>324</v>
      </c>
      <c r="N26" s="628"/>
      <c r="O26" s="15"/>
      <c r="P26" s="76"/>
      <c r="Q26" s="15" t="s">
        <v>1</v>
      </c>
      <c r="R26" s="65">
        <f>R22-R25</f>
        <v>2199436.3817097098</v>
      </c>
      <c r="S26" s="15" t="s">
        <v>341</v>
      </c>
      <c r="T26" s="15"/>
      <c r="U26" s="65"/>
      <c r="V26" s="64"/>
      <c r="W26" s="64"/>
      <c r="X26" s="64"/>
      <c r="Y26" s="64"/>
      <c r="Z26" s="64"/>
      <c r="AA26" s="15"/>
      <c r="AB26" s="64"/>
      <c r="AC26" s="15"/>
      <c r="AD26" s="15"/>
      <c r="AE26" s="15"/>
      <c r="AF26" s="15"/>
      <c r="AG26" s="15"/>
      <c r="AH26" s="15"/>
    </row>
    <row r="27" spans="1:34" x14ac:dyDescent="0.25">
      <c r="A27" s="74">
        <v>9257010</v>
      </c>
      <c r="B27" s="67" t="s">
        <v>333</v>
      </c>
      <c r="C27" s="536" t="s">
        <v>248</v>
      </c>
      <c r="D27" s="75">
        <v>464060</v>
      </c>
      <c r="E27" s="75">
        <v>123600</v>
      </c>
      <c r="F27" s="75"/>
      <c r="G27" s="75"/>
      <c r="H27" s="77">
        <v>1450702.9222110419</v>
      </c>
      <c r="I27" s="77">
        <v>0</v>
      </c>
      <c r="J27" s="75">
        <v>18772</v>
      </c>
      <c r="K27" s="75">
        <v>2057134.9222110419</v>
      </c>
      <c r="L27" s="77">
        <v>2057134.9222110419</v>
      </c>
      <c r="M27" s="534">
        <v>115.33333333333333</v>
      </c>
      <c r="N27" s="628">
        <f t="shared" ref="N27:N43" si="13">M4-M27</f>
        <v>24.000000000000014</v>
      </c>
      <c r="O27" s="15"/>
      <c r="P27" s="15"/>
      <c r="Q27" s="15"/>
      <c r="R27" s="64"/>
      <c r="S27" s="15"/>
      <c r="T27" s="15"/>
      <c r="U27" s="65"/>
      <c r="V27" s="64"/>
      <c r="W27" s="64"/>
      <c r="X27" s="64"/>
      <c r="Y27" s="64"/>
      <c r="Z27" s="15"/>
      <c r="AA27" s="15"/>
      <c r="AB27" s="64"/>
      <c r="AC27" s="15"/>
      <c r="AD27" s="15"/>
      <c r="AE27" s="15"/>
      <c r="AF27" s="15"/>
      <c r="AG27" s="15"/>
      <c r="AH27" s="15"/>
    </row>
    <row r="28" spans="1:34" ht="13" thickBot="1" x14ac:dyDescent="0.3">
      <c r="A28" s="74">
        <v>9257005</v>
      </c>
      <c r="B28" s="67" t="s">
        <v>259</v>
      </c>
      <c r="C28" s="536" t="s">
        <v>247</v>
      </c>
      <c r="D28" s="75">
        <v>425940</v>
      </c>
      <c r="E28" s="75">
        <v>118450</v>
      </c>
      <c r="F28" s="75"/>
      <c r="G28" s="75"/>
      <c r="H28" s="77">
        <v>1111087.4538852279</v>
      </c>
      <c r="I28" s="77">
        <v>0</v>
      </c>
      <c r="J28" s="75">
        <v>13140.4</v>
      </c>
      <c r="K28" s="75">
        <v>1668617.8538852278</v>
      </c>
      <c r="L28" s="77">
        <v>1668617.8538852278</v>
      </c>
      <c r="M28" s="534">
        <v>88.583333333333343</v>
      </c>
      <c r="N28" s="628">
        <f t="shared" si="13"/>
        <v>-8.8333333333333428</v>
      </c>
      <c r="O28" s="15"/>
      <c r="P28" s="15"/>
      <c r="Q28" s="15"/>
      <c r="R28" s="65"/>
      <c r="S28" s="15"/>
      <c r="T28" s="15"/>
      <c r="U28" s="65"/>
      <c r="V28" s="64"/>
      <c r="W28" s="64"/>
      <c r="X28" s="64"/>
      <c r="Y28" s="64"/>
      <c r="Z28" s="15"/>
      <c r="AA28" s="15"/>
      <c r="AB28" s="64"/>
      <c r="AC28" s="15"/>
      <c r="AD28" s="15"/>
      <c r="AE28" s="15"/>
      <c r="AF28" s="15"/>
      <c r="AG28" s="15"/>
      <c r="AH28" s="15"/>
    </row>
    <row r="29" spans="1:34" x14ac:dyDescent="0.25">
      <c r="A29" s="74">
        <v>9257025</v>
      </c>
      <c r="B29" s="67" t="s">
        <v>260</v>
      </c>
      <c r="C29" s="536" t="s">
        <v>246</v>
      </c>
      <c r="D29" s="75">
        <v>387820</v>
      </c>
      <c r="E29" s="75">
        <v>113300</v>
      </c>
      <c r="F29" s="75"/>
      <c r="G29" s="75"/>
      <c r="H29" s="77">
        <v>938087.7152146895</v>
      </c>
      <c r="I29" s="77">
        <v>0</v>
      </c>
      <c r="J29" s="75">
        <v>12671.1</v>
      </c>
      <c r="K29" s="75">
        <v>1451878.8152146896</v>
      </c>
      <c r="L29" s="77">
        <v>1451878.8152146896</v>
      </c>
      <c r="M29" s="534">
        <v>84.416666666666671</v>
      </c>
      <c r="N29" s="628">
        <f t="shared" si="13"/>
        <v>11.583333333333329</v>
      </c>
      <c r="O29" s="106"/>
      <c r="P29" s="811"/>
      <c r="Q29" s="812" t="s">
        <v>157</v>
      </c>
      <c r="R29" s="629">
        <f>R22+F22+G22</f>
        <v>38510072.708919764</v>
      </c>
      <c r="S29" s="106"/>
      <c r="T29" s="106"/>
      <c r="U29" s="106"/>
      <c r="V29" s="106"/>
      <c r="W29" s="106"/>
      <c r="X29" s="106"/>
      <c r="Y29" s="106"/>
      <c r="Z29" s="106"/>
      <c r="AA29" s="106"/>
      <c r="AB29" s="106"/>
      <c r="AC29" s="15"/>
      <c r="AD29" s="15"/>
      <c r="AE29" s="15"/>
      <c r="AF29" s="15"/>
      <c r="AG29" s="15"/>
      <c r="AH29" s="15"/>
    </row>
    <row r="30" spans="1:34" x14ac:dyDescent="0.25">
      <c r="A30" s="74">
        <v>9257024</v>
      </c>
      <c r="B30" s="67" t="s">
        <v>261</v>
      </c>
      <c r="C30" s="536" t="s">
        <v>246</v>
      </c>
      <c r="D30" s="75">
        <v>387820</v>
      </c>
      <c r="E30" s="75">
        <v>113300</v>
      </c>
      <c r="F30" s="75"/>
      <c r="G30" s="75"/>
      <c r="H30" s="77">
        <v>981968.02846039541</v>
      </c>
      <c r="I30" s="77">
        <v>0</v>
      </c>
      <c r="J30" s="75">
        <v>16425.5</v>
      </c>
      <c r="K30" s="75">
        <v>1499513.5284603955</v>
      </c>
      <c r="L30" s="77">
        <v>1499513.5284603955</v>
      </c>
      <c r="M30" s="534">
        <v>86.333333333333343</v>
      </c>
      <c r="N30" s="628">
        <f t="shared" si="13"/>
        <v>6.5833333333333286</v>
      </c>
      <c r="O30" s="15"/>
      <c r="P30" s="813"/>
      <c r="Q30" s="359"/>
      <c r="R30" s="814"/>
      <c r="S30" s="15"/>
      <c r="T30" s="15"/>
      <c r="U30" s="65"/>
      <c r="V30" s="64"/>
      <c r="W30" s="64"/>
      <c r="X30" s="64"/>
      <c r="Y30" s="64"/>
      <c r="Z30" s="15"/>
      <c r="AA30" s="15"/>
      <c r="AB30" s="64"/>
      <c r="AC30" s="15"/>
      <c r="AD30" s="15"/>
      <c r="AE30" s="15"/>
      <c r="AF30" s="15"/>
      <c r="AG30" s="15"/>
      <c r="AH30" s="15"/>
    </row>
    <row r="31" spans="1:34" ht="13" x14ac:dyDescent="0.3">
      <c r="A31" s="74">
        <v>9257031</v>
      </c>
      <c r="B31" s="13" t="s">
        <v>169</v>
      </c>
      <c r="C31" s="536" t="s">
        <v>248</v>
      </c>
      <c r="D31" s="75">
        <v>401550</v>
      </c>
      <c r="E31" s="75">
        <v>88550</v>
      </c>
      <c r="F31" s="75">
        <v>200541</v>
      </c>
      <c r="G31" s="75"/>
      <c r="H31" s="77">
        <v>1215325.5284515372</v>
      </c>
      <c r="I31" s="77">
        <v>0</v>
      </c>
      <c r="J31" s="75">
        <v>19710.600000000002</v>
      </c>
      <c r="K31" s="75">
        <v>1925677.1284515373</v>
      </c>
      <c r="L31" s="77">
        <v>1725136.1284515373</v>
      </c>
      <c r="M31" s="534">
        <v>80.416666666666671</v>
      </c>
      <c r="N31" s="628">
        <f t="shared" si="13"/>
        <v>0.1666666666666714</v>
      </c>
      <c r="O31" s="15"/>
      <c r="P31" s="813"/>
      <c r="Q31" s="359" t="s">
        <v>779</v>
      </c>
      <c r="R31" s="138">
        <v>1287970.7534821667</v>
      </c>
      <c r="S31" s="15"/>
      <c r="T31" s="15"/>
      <c r="U31" s="65"/>
      <c r="V31" s="64"/>
      <c r="W31" s="64"/>
      <c r="X31" s="64"/>
      <c r="Y31" s="64"/>
      <c r="Z31" s="15"/>
      <c r="AA31" s="15"/>
      <c r="AB31" s="64"/>
      <c r="AC31" s="15"/>
      <c r="AD31" s="15"/>
      <c r="AE31" s="15"/>
      <c r="AF31" s="15"/>
      <c r="AG31" s="15"/>
      <c r="AH31" s="15"/>
    </row>
    <row r="32" spans="1:34" x14ac:dyDescent="0.25">
      <c r="A32" s="74">
        <v>9257033</v>
      </c>
      <c r="B32" s="67" t="s">
        <v>269</v>
      </c>
      <c r="C32" s="536" t="s">
        <v>246</v>
      </c>
      <c r="D32" s="75">
        <v>387820</v>
      </c>
      <c r="E32" s="75">
        <v>113300</v>
      </c>
      <c r="F32" s="75"/>
      <c r="G32" s="75"/>
      <c r="H32" s="77">
        <v>997252.27983884769</v>
      </c>
      <c r="I32" s="77">
        <v>0</v>
      </c>
      <c r="J32" s="75">
        <v>24403.600000000002</v>
      </c>
      <c r="K32" s="75">
        <v>1522775.8798388478</v>
      </c>
      <c r="L32" s="77">
        <v>1522775.8798388478</v>
      </c>
      <c r="M32" s="534">
        <v>106.16666666666669</v>
      </c>
      <c r="N32" s="628">
        <f t="shared" si="13"/>
        <v>7.5833333333333286</v>
      </c>
      <c r="O32" s="15"/>
      <c r="P32" s="813"/>
      <c r="Q32" s="104"/>
      <c r="R32" s="815"/>
      <c r="S32" s="15"/>
      <c r="T32" s="15"/>
      <c r="U32" s="65"/>
      <c r="V32" s="64"/>
      <c r="W32" s="64"/>
      <c r="X32" s="64"/>
      <c r="Y32" s="64"/>
      <c r="Z32" s="15"/>
      <c r="AA32" s="15"/>
      <c r="AB32" s="64"/>
      <c r="AC32" s="15"/>
      <c r="AD32" s="15"/>
      <c r="AE32" s="15"/>
      <c r="AF32" s="15"/>
      <c r="AG32" s="15"/>
      <c r="AH32" s="15"/>
    </row>
    <row r="33" spans="1:28" x14ac:dyDescent="0.25">
      <c r="A33" s="74">
        <v>9257008</v>
      </c>
      <c r="B33" s="67" t="s">
        <v>126</v>
      </c>
      <c r="C33" s="536" t="s">
        <v>246</v>
      </c>
      <c r="D33" s="75">
        <v>387820</v>
      </c>
      <c r="E33" s="75">
        <v>113300</v>
      </c>
      <c r="F33" s="75"/>
      <c r="G33" s="75"/>
      <c r="H33" s="77">
        <v>956233.34251339128</v>
      </c>
      <c r="I33" s="77">
        <v>0</v>
      </c>
      <c r="J33" s="75">
        <v>12201.800000000001</v>
      </c>
      <c r="K33" s="75">
        <v>1469555.1425133913</v>
      </c>
      <c r="L33" s="77">
        <v>1469555.1425133913</v>
      </c>
      <c r="M33" s="534">
        <v>100.16666666666667</v>
      </c>
      <c r="N33" s="628">
        <f t="shared" si="13"/>
        <v>0.8333333333333286</v>
      </c>
      <c r="O33" s="15"/>
      <c r="P33" s="813"/>
      <c r="Q33" s="359" t="s">
        <v>54</v>
      </c>
      <c r="R33" s="816">
        <f>SUM(R29:R31)</f>
        <v>39798043.462401927</v>
      </c>
      <c r="S33" s="15"/>
      <c r="T33" s="15"/>
      <c r="U33" s="65"/>
      <c r="V33" s="64"/>
      <c r="W33" s="64"/>
      <c r="X33" s="64"/>
      <c r="Y33" s="64"/>
      <c r="Z33" s="15"/>
      <c r="AA33" s="15"/>
      <c r="AB33" s="64"/>
    </row>
    <row r="34" spans="1:28" x14ac:dyDescent="0.25">
      <c r="A34" s="74">
        <v>9257034</v>
      </c>
      <c r="B34" s="67" t="s">
        <v>270</v>
      </c>
      <c r="C34" s="536" t="s">
        <v>247</v>
      </c>
      <c r="D34" s="75">
        <v>425940</v>
      </c>
      <c r="E34" s="75">
        <v>118450</v>
      </c>
      <c r="F34" s="75"/>
      <c r="G34" s="75"/>
      <c r="H34" s="77">
        <v>1102419.9694233148</v>
      </c>
      <c r="I34" s="77">
        <v>0</v>
      </c>
      <c r="J34" s="75">
        <v>25342.2</v>
      </c>
      <c r="K34" s="75">
        <v>1672152.1694233147</v>
      </c>
      <c r="L34" s="77">
        <v>1672152.1694233147</v>
      </c>
      <c r="M34" s="534">
        <v>122.16666666666667</v>
      </c>
      <c r="N34" s="628">
        <f t="shared" si="13"/>
        <v>6.1666666666666714</v>
      </c>
      <c r="O34" s="15"/>
      <c r="P34" s="813"/>
      <c r="Q34" s="15"/>
      <c r="R34" s="815"/>
      <c r="S34" s="15"/>
      <c r="T34" s="15"/>
      <c r="U34" s="65"/>
      <c r="V34" s="64"/>
      <c r="W34" s="64"/>
      <c r="X34" s="64"/>
      <c r="Y34" s="64"/>
      <c r="Z34" s="15"/>
      <c r="AA34" s="15"/>
      <c r="AB34" s="64"/>
    </row>
    <row r="35" spans="1:28" ht="13" thickBot="1" x14ac:dyDescent="0.3">
      <c r="A35" s="74">
        <v>9257002</v>
      </c>
      <c r="B35" s="67" t="s">
        <v>262</v>
      </c>
      <c r="C35" s="536" t="s">
        <v>248</v>
      </c>
      <c r="D35" s="75">
        <v>464060</v>
      </c>
      <c r="E35" s="75">
        <v>123600</v>
      </c>
      <c r="F35" s="75"/>
      <c r="G35" s="75"/>
      <c r="H35" s="77">
        <v>1484746.1499078074</v>
      </c>
      <c r="I35" s="77">
        <v>0</v>
      </c>
      <c r="J35" s="75">
        <v>19241.3</v>
      </c>
      <c r="K35" s="75">
        <v>2091647.4499078074</v>
      </c>
      <c r="L35" s="77">
        <v>2091647.4499078074</v>
      </c>
      <c r="M35" s="534">
        <v>155.66666666666669</v>
      </c>
      <c r="N35" s="628">
        <f t="shared" si="13"/>
        <v>13.25</v>
      </c>
      <c r="O35" s="15"/>
      <c r="P35" s="817"/>
      <c r="Q35" s="818" t="s">
        <v>780</v>
      </c>
      <c r="R35" s="819">
        <f>R33/M22</f>
        <v>18217.681539150224</v>
      </c>
      <c r="S35" s="15"/>
      <c r="T35" s="15"/>
      <c r="U35" s="15"/>
      <c r="V35" s="15"/>
      <c r="W35" s="15"/>
      <c r="X35" s="15"/>
      <c r="Y35" s="15"/>
      <c r="Z35" s="15"/>
      <c r="AA35" s="15"/>
      <c r="AB35" s="15"/>
    </row>
    <row r="36" spans="1:28" x14ac:dyDescent="0.25">
      <c r="A36" s="74">
        <v>9257009</v>
      </c>
      <c r="B36" s="67" t="s">
        <v>334</v>
      </c>
      <c r="C36" s="536" t="s">
        <v>250</v>
      </c>
      <c r="D36" s="75">
        <v>550700</v>
      </c>
      <c r="E36" s="75">
        <v>144200</v>
      </c>
      <c r="F36" s="75"/>
      <c r="G36" s="75">
        <v>393880</v>
      </c>
      <c r="H36" s="77">
        <v>2038600.4346503685</v>
      </c>
      <c r="I36" s="77">
        <v>0</v>
      </c>
      <c r="J36" s="75">
        <v>32381.700000000004</v>
      </c>
      <c r="K36" s="75">
        <v>3159762.1346503687</v>
      </c>
      <c r="L36" s="77">
        <v>2765882.1346503687</v>
      </c>
      <c r="M36" s="534">
        <v>198.91666666666669</v>
      </c>
      <c r="N36" s="628">
        <f>M13-M36</f>
        <v>8.9166666666666856</v>
      </c>
      <c r="O36" s="15"/>
      <c r="P36" s="15"/>
      <c r="Q36" s="15"/>
      <c r="R36" s="15"/>
      <c r="S36" s="15"/>
      <c r="T36" s="15"/>
      <c r="U36" s="15"/>
      <c r="V36" s="15"/>
      <c r="W36" s="15"/>
      <c r="X36" s="15"/>
      <c r="Y36" s="15"/>
      <c r="Z36" s="15"/>
      <c r="AA36" s="15"/>
      <c r="AB36" s="15"/>
    </row>
    <row r="37" spans="1:28" ht="13" x14ac:dyDescent="0.3">
      <c r="A37" s="74">
        <v>9257029</v>
      </c>
      <c r="B37" s="13" t="s">
        <v>278</v>
      </c>
      <c r="C37" s="536" t="s">
        <v>247</v>
      </c>
      <c r="D37" s="75">
        <v>383275</v>
      </c>
      <c r="E37" s="75">
        <v>88550</v>
      </c>
      <c r="F37" s="75">
        <v>283674</v>
      </c>
      <c r="G37" s="75"/>
      <c r="H37" s="77">
        <v>1187618.6252122277</v>
      </c>
      <c r="I37" s="77">
        <v>0</v>
      </c>
      <c r="J37" s="75">
        <v>15017.6</v>
      </c>
      <c r="K37" s="75">
        <v>1958135.2252122278</v>
      </c>
      <c r="L37" s="77">
        <v>1674461.2252122278</v>
      </c>
      <c r="M37" s="534">
        <v>78.583333333333343</v>
      </c>
      <c r="N37" s="628">
        <f t="shared" si="13"/>
        <v>0.41666666666665719</v>
      </c>
      <c r="O37" s="15"/>
      <c r="P37" s="15"/>
      <c r="Q37" s="15"/>
      <c r="R37" s="15"/>
      <c r="S37" s="15"/>
      <c r="T37" s="15"/>
      <c r="U37" s="15"/>
      <c r="V37" s="15"/>
      <c r="W37" s="15"/>
      <c r="X37" s="15"/>
      <c r="Y37" s="15"/>
      <c r="Z37" s="15"/>
      <c r="AA37" s="15"/>
      <c r="AB37" s="15"/>
    </row>
    <row r="38" spans="1:28" ht="13" x14ac:dyDescent="0.3">
      <c r="A38" s="74">
        <v>9257032</v>
      </c>
      <c r="B38" s="13" t="s">
        <v>266</v>
      </c>
      <c r="C38" s="536" t="s">
        <v>247</v>
      </c>
      <c r="D38" s="75">
        <v>383275</v>
      </c>
      <c r="E38" s="75">
        <v>88550</v>
      </c>
      <c r="F38" s="75">
        <v>251809</v>
      </c>
      <c r="G38" s="75">
        <v>174700</v>
      </c>
      <c r="H38" s="77">
        <v>1571737.0564844753</v>
      </c>
      <c r="I38" s="77">
        <v>0</v>
      </c>
      <c r="J38" s="75">
        <v>22057.100000000002</v>
      </c>
      <c r="K38" s="75">
        <v>2492128.1564844754</v>
      </c>
      <c r="L38" s="77">
        <v>2065619.1564844754</v>
      </c>
      <c r="M38" s="534">
        <v>104</v>
      </c>
      <c r="N38" s="628">
        <f t="shared" si="13"/>
        <v>6.4166666666666856</v>
      </c>
      <c r="O38" s="15"/>
      <c r="P38" s="15"/>
      <c r="Q38" s="15"/>
      <c r="R38" s="15"/>
      <c r="S38" s="15"/>
      <c r="T38" s="15"/>
      <c r="U38" s="15"/>
      <c r="V38" s="15"/>
      <c r="W38" s="15"/>
      <c r="X38" s="15"/>
      <c r="Y38" s="15"/>
      <c r="Z38" s="15"/>
      <c r="AA38" s="15"/>
      <c r="AB38" s="15"/>
    </row>
    <row r="39" spans="1:28" ht="13" x14ac:dyDescent="0.3">
      <c r="A39" s="74">
        <v>9257030</v>
      </c>
      <c r="B39" s="13" t="s">
        <v>268</v>
      </c>
      <c r="C39" s="536" t="s">
        <v>247</v>
      </c>
      <c r="D39" s="75">
        <v>383275</v>
      </c>
      <c r="E39" s="75">
        <v>88550</v>
      </c>
      <c r="F39" s="75">
        <v>309196</v>
      </c>
      <c r="G39" s="75"/>
      <c r="H39" s="77">
        <v>1070493.9887915095</v>
      </c>
      <c r="I39" s="77">
        <v>0</v>
      </c>
      <c r="J39" s="75">
        <v>16425.5</v>
      </c>
      <c r="K39" s="75">
        <v>1867940.4887915095</v>
      </c>
      <c r="L39" s="77">
        <v>1558744.4887915095</v>
      </c>
      <c r="M39" s="534">
        <v>70.833333333333343</v>
      </c>
      <c r="N39" s="628">
        <f t="shared" si="13"/>
        <v>-0.83333333333334281</v>
      </c>
      <c r="O39" s="15"/>
      <c r="P39" s="15"/>
      <c r="Q39" s="15"/>
      <c r="R39" s="15"/>
      <c r="S39" s="15"/>
      <c r="T39" s="15"/>
      <c r="U39" s="65"/>
      <c r="V39" s="64"/>
      <c r="W39" s="64"/>
      <c r="X39" s="64"/>
      <c r="Y39" s="64"/>
      <c r="Z39" s="15"/>
      <c r="AA39" s="15"/>
      <c r="AB39" s="64"/>
    </row>
    <row r="40" spans="1:28" x14ac:dyDescent="0.25">
      <c r="A40" s="74">
        <v>9257028</v>
      </c>
      <c r="B40" s="67" t="s">
        <v>70</v>
      </c>
      <c r="C40" s="536" t="s">
        <v>249</v>
      </c>
      <c r="D40" s="75">
        <v>507380</v>
      </c>
      <c r="E40" s="75">
        <v>133900</v>
      </c>
      <c r="F40" s="75"/>
      <c r="G40" s="75"/>
      <c r="H40" s="77">
        <v>1590171.732654036</v>
      </c>
      <c r="I40" s="77">
        <v>0</v>
      </c>
      <c r="J40" s="75">
        <v>12201.800000000001</v>
      </c>
      <c r="K40" s="75">
        <v>2243653.5326540358</v>
      </c>
      <c r="L40" s="77">
        <v>2243653.5326540358</v>
      </c>
      <c r="M40" s="534">
        <v>129.91666666666669</v>
      </c>
      <c r="N40" s="628">
        <f t="shared" si="13"/>
        <v>8.75</v>
      </c>
      <c r="O40" s="15"/>
      <c r="P40" s="15"/>
      <c r="Q40" s="15"/>
      <c r="R40" s="15"/>
      <c r="S40" s="15"/>
      <c r="T40" s="15"/>
      <c r="U40" s="65"/>
      <c r="V40" s="64"/>
      <c r="W40" s="64"/>
      <c r="X40" s="64"/>
      <c r="Y40" s="64"/>
      <c r="Z40" s="15"/>
      <c r="AA40" s="15"/>
      <c r="AB40" s="64"/>
    </row>
    <row r="41" spans="1:28" x14ac:dyDescent="0.25">
      <c r="A41" s="74">
        <v>9257021</v>
      </c>
      <c r="B41" s="67" t="s">
        <v>263</v>
      </c>
      <c r="C41" s="536" t="s">
        <v>249</v>
      </c>
      <c r="D41" s="75">
        <v>507380</v>
      </c>
      <c r="E41" s="75">
        <v>133900</v>
      </c>
      <c r="F41" s="75"/>
      <c r="G41" s="75"/>
      <c r="H41" s="77">
        <v>1676380.6480545243</v>
      </c>
      <c r="I41" s="77">
        <v>0</v>
      </c>
      <c r="J41" s="75">
        <v>25342.2</v>
      </c>
      <c r="K41" s="75">
        <v>2343002.8480545245</v>
      </c>
      <c r="L41" s="77">
        <v>2343002.8480545245</v>
      </c>
      <c r="M41" s="534">
        <v>174.25</v>
      </c>
      <c r="N41" s="628">
        <f t="shared" si="13"/>
        <v>4.3333333333333428</v>
      </c>
      <c r="O41" s="15"/>
      <c r="P41" s="15"/>
      <c r="Q41" s="15"/>
      <c r="R41" s="15"/>
      <c r="S41" s="15"/>
      <c r="T41" s="15"/>
      <c r="U41" s="65"/>
      <c r="V41" s="64"/>
      <c r="W41" s="64"/>
      <c r="X41" s="64"/>
      <c r="Y41" s="64"/>
      <c r="Z41" s="15"/>
      <c r="AA41" s="15"/>
      <c r="AB41" s="64"/>
    </row>
    <row r="42" spans="1:28" x14ac:dyDescent="0.25">
      <c r="A42" s="74">
        <v>9257015</v>
      </c>
      <c r="B42" s="67" t="s">
        <v>72</v>
      </c>
      <c r="C42" s="536" t="s">
        <v>251</v>
      </c>
      <c r="D42" s="75">
        <v>597290</v>
      </c>
      <c r="E42" s="75">
        <v>149350</v>
      </c>
      <c r="F42" s="75"/>
      <c r="G42" s="75"/>
      <c r="H42" s="77">
        <v>2226865.9728884418</v>
      </c>
      <c r="I42" s="77">
        <v>0</v>
      </c>
      <c r="J42" s="75">
        <v>34258.9</v>
      </c>
      <c r="K42" s="75">
        <v>3007764.8728884417</v>
      </c>
      <c r="L42" s="77">
        <v>3007764.8728884417</v>
      </c>
      <c r="M42" s="534">
        <v>226.5</v>
      </c>
      <c r="N42" s="628">
        <f t="shared" si="13"/>
        <v>7.8333333333333712</v>
      </c>
      <c r="O42" s="15"/>
      <c r="P42" s="15"/>
      <c r="Q42" s="15"/>
      <c r="R42" s="15"/>
      <c r="S42" s="15"/>
      <c r="T42" s="15"/>
      <c r="U42" s="65"/>
      <c r="V42" s="64"/>
      <c r="W42" s="64"/>
      <c r="X42" s="64"/>
      <c r="Y42" s="64"/>
      <c r="Z42" s="15"/>
      <c r="AA42" s="15"/>
      <c r="AB42" s="64"/>
    </row>
    <row r="43" spans="1:28" x14ac:dyDescent="0.25">
      <c r="A43" s="74">
        <v>9257016</v>
      </c>
      <c r="B43" s="67" t="s">
        <v>73</v>
      </c>
      <c r="C43" s="536" t="s">
        <v>251</v>
      </c>
      <c r="D43" s="75">
        <v>597290</v>
      </c>
      <c r="E43" s="75">
        <v>149350</v>
      </c>
      <c r="F43" s="75"/>
      <c r="G43" s="75"/>
      <c r="H43" s="77">
        <v>2366444.7040477116</v>
      </c>
      <c r="I43" s="77">
        <v>0</v>
      </c>
      <c r="J43" s="75">
        <v>22057.100000000002</v>
      </c>
      <c r="K43" s="75">
        <v>3135141.8040477117</v>
      </c>
      <c r="L43" s="77">
        <v>3135141.8040477117</v>
      </c>
      <c r="M43" s="534">
        <v>164.75</v>
      </c>
      <c r="N43" s="628">
        <f t="shared" si="13"/>
        <v>0.41666666666668561</v>
      </c>
      <c r="O43" s="15"/>
      <c r="P43" s="15"/>
      <c r="Q43" s="15"/>
      <c r="R43" s="15"/>
      <c r="S43" s="15"/>
      <c r="T43" s="15"/>
      <c r="U43" s="65"/>
      <c r="V43" s="64"/>
      <c r="W43" s="64"/>
      <c r="X43" s="64"/>
      <c r="Y43" s="64"/>
      <c r="Z43" s="15"/>
      <c r="AA43" s="15"/>
      <c r="AB43" s="64"/>
    </row>
    <row r="44" spans="1:28" x14ac:dyDescent="0.25">
      <c r="A44" s="78"/>
      <c r="B44" s="15"/>
      <c r="C44" s="64"/>
      <c r="D44" s="65"/>
      <c r="E44" s="65"/>
      <c r="F44" s="65"/>
      <c r="G44" s="65"/>
      <c r="H44" s="65"/>
      <c r="I44" s="65"/>
      <c r="J44" s="65"/>
      <c r="K44" s="64"/>
      <c r="L44" s="15"/>
      <c r="M44" s="64"/>
      <c r="N44" s="15"/>
      <c r="O44" s="15"/>
      <c r="P44" s="15"/>
      <c r="Q44" s="15"/>
      <c r="R44" s="15"/>
      <c r="S44" s="15"/>
      <c r="T44" s="15"/>
      <c r="U44" s="65"/>
      <c r="V44" s="64"/>
      <c r="W44" s="64"/>
      <c r="X44" s="64"/>
      <c r="Y44" s="64"/>
      <c r="Z44" s="15"/>
      <c r="AA44" s="15"/>
      <c r="AB44" s="64"/>
    </row>
    <row r="45" spans="1:28" ht="13" thickBot="1" x14ac:dyDescent="0.3">
      <c r="A45" s="78"/>
      <c r="B45" s="15"/>
      <c r="C45" s="15"/>
      <c r="D45" s="79">
        <v>7642695</v>
      </c>
      <c r="E45" s="79">
        <v>2002200</v>
      </c>
      <c r="F45" s="79">
        <v>1045220</v>
      </c>
      <c r="G45" s="79">
        <v>568580</v>
      </c>
      <c r="H45" s="79">
        <v>23966136.552689545</v>
      </c>
      <c r="I45" s="79">
        <v>0</v>
      </c>
      <c r="J45" s="79">
        <v>341650.4</v>
      </c>
      <c r="K45" s="79">
        <v>35566481.952689551</v>
      </c>
      <c r="L45" s="79">
        <v>33952681.952689551</v>
      </c>
      <c r="M45" s="80">
        <v>2087</v>
      </c>
      <c r="N45" s="628">
        <f>M22-M45</f>
        <v>97.583333333333485</v>
      </c>
      <c r="O45" s="15"/>
      <c r="P45" s="15"/>
      <c r="Q45" s="15"/>
      <c r="R45" s="15"/>
      <c r="S45" s="15"/>
      <c r="T45" s="15"/>
      <c r="U45" s="65"/>
      <c r="V45" s="64"/>
      <c r="W45" s="64"/>
      <c r="X45" s="64"/>
      <c r="Y45" s="64"/>
      <c r="Z45" s="15"/>
      <c r="AA45" s="15"/>
      <c r="AB45" s="64"/>
    </row>
    <row r="46" spans="1:28" x14ac:dyDescent="0.25">
      <c r="A46" s="78"/>
      <c r="B46" s="15"/>
      <c r="C46" s="15"/>
      <c r="D46" s="65"/>
      <c r="E46" s="65"/>
      <c r="F46" s="65"/>
      <c r="G46" s="65"/>
      <c r="H46" s="65"/>
      <c r="I46" s="649"/>
      <c r="J46" s="649"/>
      <c r="K46" s="649"/>
      <c r="L46" s="649"/>
      <c r="M46" s="81"/>
      <c r="N46" s="631"/>
      <c r="O46" s="15"/>
      <c r="P46" s="15"/>
      <c r="Q46" s="15"/>
      <c r="R46" s="15"/>
      <c r="S46" s="15"/>
      <c r="T46" s="15"/>
      <c r="U46" s="65"/>
      <c r="V46" s="64"/>
      <c r="W46" s="64"/>
      <c r="X46" s="64"/>
      <c r="Y46" s="64"/>
      <c r="Z46" s="15"/>
      <c r="AA46" s="15"/>
      <c r="AB46" s="64"/>
    </row>
    <row r="47" spans="1:28" x14ac:dyDescent="0.25">
      <c r="A47" s="78"/>
      <c r="B47" s="15"/>
      <c r="C47" s="359" t="s">
        <v>342</v>
      </c>
      <c r="D47" s="65">
        <f>D45*0.03</f>
        <v>229280.85</v>
      </c>
      <c r="E47" s="65"/>
      <c r="F47" s="65"/>
      <c r="G47" s="65"/>
      <c r="H47" s="65"/>
      <c r="I47" s="74">
        <v>9257010</v>
      </c>
      <c r="J47" s="67" t="s">
        <v>333</v>
      </c>
      <c r="K47" s="75"/>
      <c r="L47" s="75">
        <f>L4-L27</f>
        <v>304397.9144779963</v>
      </c>
      <c r="M47" s="81"/>
      <c r="N47" s="631">
        <f>L47/L27</f>
        <v>0.14797177919220997</v>
      </c>
      <c r="O47" s="15"/>
      <c r="P47" s="15"/>
      <c r="Q47" s="15"/>
      <c r="R47" s="15"/>
      <c r="S47" s="15"/>
      <c r="T47" s="15"/>
      <c r="U47" s="65"/>
      <c r="V47" s="64"/>
      <c r="W47" s="64"/>
      <c r="X47" s="64"/>
      <c r="Y47" s="64"/>
      <c r="Z47" s="15"/>
      <c r="AA47" s="15"/>
      <c r="AB47" s="64"/>
    </row>
    <row r="48" spans="1:28" x14ac:dyDescent="0.25">
      <c r="A48" s="15"/>
      <c r="B48" s="15"/>
      <c r="C48" s="359" t="s">
        <v>343</v>
      </c>
      <c r="D48" s="65">
        <f>D24-D47</f>
        <v>97963.300000001298</v>
      </c>
      <c r="E48" s="65"/>
      <c r="F48" s="64"/>
      <c r="G48" s="64"/>
      <c r="H48" s="15"/>
      <c r="I48" s="74">
        <v>9257005</v>
      </c>
      <c r="J48" s="67" t="s">
        <v>259</v>
      </c>
      <c r="K48" s="68"/>
      <c r="L48" s="75">
        <f t="shared" ref="L48:L63" si="14">L5-L28</f>
        <v>-100711.04402607284</v>
      </c>
      <c r="M48" s="64"/>
      <c r="N48" s="631">
        <f t="shared" ref="N48:N63" si="15">L48/L28</f>
        <v>-6.0355966940888323E-2</v>
      </c>
      <c r="O48" s="15"/>
      <c r="P48" s="15"/>
      <c r="Q48" s="15"/>
      <c r="R48" s="15"/>
      <c r="S48" s="15"/>
      <c r="T48" s="15"/>
      <c r="U48" s="65"/>
      <c r="V48" s="64"/>
      <c r="W48" s="64"/>
      <c r="X48" s="64"/>
      <c r="Y48" s="64"/>
      <c r="Z48" s="15"/>
      <c r="AA48" s="15"/>
      <c r="AB48" s="64"/>
    </row>
    <row r="49" spans="4:14" x14ac:dyDescent="0.25">
      <c r="D49" s="65"/>
      <c r="E49" s="65"/>
      <c r="F49" s="65"/>
      <c r="G49" s="64"/>
      <c r="H49" s="15"/>
      <c r="I49" s="74">
        <v>9257025</v>
      </c>
      <c r="J49" s="67" t="s">
        <v>260</v>
      </c>
      <c r="K49" s="68"/>
      <c r="L49" s="75">
        <f t="shared" si="14"/>
        <v>129715.75145197706</v>
      </c>
      <c r="M49" s="64"/>
      <c r="N49" s="631">
        <f t="shared" si="15"/>
        <v>8.9343373629152359E-2</v>
      </c>
    </row>
    <row r="50" spans="4:14" x14ac:dyDescent="0.25">
      <c r="D50" s="65"/>
      <c r="E50" s="65"/>
      <c r="F50" s="64"/>
      <c r="G50" s="64"/>
      <c r="H50" s="15"/>
      <c r="I50" s="74">
        <v>9257024</v>
      </c>
      <c r="J50" s="67" t="s">
        <v>261</v>
      </c>
      <c r="K50" s="68"/>
      <c r="L50" s="75">
        <f t="shared" si="14"/>
        <v>95056.380363133969</v>
      </c>
      <c r="M50" s="64"/>
      <c r="N50" s="631">
        <f t="shared" si="15"/>
        <v>6.3391479009016857E-2</v>
      </c>
    </row>
    <row r="51" spans="4:14" ht="13" x14ac:dyDescent="0.3">
      <c r="D51" s="65"/>
      <c r="E51" s="65"/>
      <c r="F51" s="64"/>
      <c r="G51" s="64"/>
      <c r="H51" s="15"/>
      <c r="I51" s="74">
        <v>9257031</v>
      </c>
      <c r="J51" s="13" t="s">
        <v>169</v>
      </c>
      <c r="K51" s="68"/>
      <c r="L51" s="75">
        <f t="shared" si="14"/>
        <v>55258.421548462706</v>
      </c>
      <c r="M51" s="64"/>
      <c r="N51" s="631">
        <f t="shared" si="15"/>
        <v>3.2031339809723905E-2</v>
      </c>
    </row>
    <row r="52" spans="4:14" x14ac:dyDescent="0.25">
      <c r="D52" s="65"/>
      <c r="E52" s="65"/>
      <c r="F52" s="64"/>
      <c r="G52" s="64"/>
      <c r="H52" s="15"/>
      <c r="I52" s="74">
        <v>9257033</v>
      </c>
      <c r="J52" s="67" t="s">
        <v>269</v>
      </c>
      <c r="K52" s="68"/>
      <c r="L52" s="75">
        <f t="shared" si="14"/>
        <v>95352.914305296261</v>
      </c>
      <c r="M52" s="64"/>
      <c r="N52" s="631">
        <f t="shared" si="15"/>
        <v>6.2617825490765763E-2</v>
      </c>
    </row>
    <row r="53" spans="4:14" x14ac:dyDescent="0.25">
      <c r="D53" s="65"/>
      <c r="E53" s="65"/>
      <c r="F53" s="64"/>
      <c r="G53" s="64"/>
      <c r="H53" s="15"/>
      <c r="I53" s="74">
        <v>9257008</v>
      </c>
      <c r="J53" s="67" t="s">
        <v>126</v>
      </c>
      <c r="K53" s="68"/>
      <c r="L53" s="75">
        <f t="shared" si="14"/>
        <v>21579.957486608764</v>
      </c>
      <c r="M53" s="64"/>
      <c r="N53" s="631">
        <f t="shared" si="15"/>
        <v>1.4684687128990886E-2</v>
      </c>
    </row>
    <row r="54" spans="4:14" x14ac:dyDescent="0.25">
      <c r="D54" s="65"/>
      <c r="E54" s="65"/>
      <c r="F54" s="64"/>
      <c r="G54" s="64"/>
      <c r="H54" s="15"/>
      <c r="I54" s="74">
        <v>9257034</v>
      </c>
      <c r="J54" s="67" t="s">
        <v>270</v>
      </c>
      <c r="K54" s="68"/>
      <c r="L54" s="75">
        <f t="shared" si="14"/>
        <v>99394.715476970188</v>
      </c>
      <c r="M54" s="64"/>
      <c r="N54" s="631">
        <f t="shared" si="15"/>
        <v>5.9441190397910404E-2</v>
      </c>
    </row>
    <row r="55" spans="4:14" x14ac:dyDescent="0.25">
      <c r="D55" s="65"/>
      <c r="E55" s="65"/>
      <c r="F55" s="64"/>
      <c r="G55" s="64"/>
      <c r="H55" s="15"/>
      <c r="I55" s="74">
        <v>9257002</v>
      </c>
      <c r="J55" s="67" t="s">
        <v>262</v>
      </c>
      <c r="K55" s="68"/>
      <c r="L55" s="75">
        <f t="shared" si="14"/>
        <v>330494.45019381843</v>
      </c>
      <c r="M55" s="64"/>
      <c r="N55" s="631">
        <f t="shared" si="15"/>
        <v>0.15800676648848519</v>
      </c>
    </row>
    <row r="56" spans="4:14" x14ac:dyDescent="0.25">
      <c r="D56" s="65"/>
      <c r="E56" s="65"/>
      <c r="F56" s="64"/>
      <c r="G56" s="64"/>
      <c r="H56" s="15"/>
      <c r="I56" s="74">
        <v>9257009</v>
      </c>
      <c r="J56" s="67" t="s">
        <v>160</v>
      </c>
      <c r="K56" s="68"/>
      <c r="L56" s="75">
        <f t="shared" si="14"/>
        <v>259150.47787078144</v>
      </c>
      <c r="M56" s="64"/>
      <c r="N56" s="631">
        <f t="shared" si="15"/>
        <v>9.3695416237807361E-2</v>
      </c>
    </row>
    <row r="57" spans="4:14" ht="13" x14ac:dyDescent="0.3">
      <c r="D57" s="65"/>
      <c r="E57" s="65"/>
      <c r="F57" s="64"/>
      <c r="G57" s="64"/>
      <c r="H57" s="15"/>
      <c r="I57" s="74">
        <v>9257029</v>
      </c>
      <c r="J57" s="13" t="s">
        <v>278</v>
      </c>
      <c r="K57" s="68"/>
      <c r="L57" s="75">
        <f t="shared" si="14"/>
        <v>52848.324787772261</v>
      </c>
      <c r="M57" s="64"/>
      <c r="N57" s="631">
        <f t="shared" si="15"/>
        <v>3.156139060853682E-2</v>
      </c>
    </row>
    <row r="58" spans="4:14" ht="13" x14ac:dyDescent="0.3">
      <c r="D58" s="65"/>
      <c r="E58" s="65"/>
      <c r="F58" s="64"/>
      <c r="G58" s="64"/>
      <c r="H58" s="15"/>
      <c r="I58" s="74">
        <v>9257032</v>
      </c>
      <c r="J58" s="13" t="s">
        <v>266</v>
      </c>
      <c r="K58" s="68"/>
      <c r="L58" s="75">
        <f t="shared" si="14"/>
        <v>160848.34351552464</v>
      </c>
      <c r="M58" s="64"/>
      <c r="N58" s="631">
        <f t="shared" si="15"/>
        <v>7.7869312458002243E-2</v>
      </c>
    </row>
    <row r="59" spans="4:14" ht="13" x14ac:dyDescent="0.3">
      <c r="D59" s="65"/>
      <c r="E59" s="65"/>
      <c r="F59" s="64"/>
      <c r="G59" s="64"/>
      <c r="H59" s="15"/>
      <c r="I59" s="74">
        <v>9257030</v>
      </c>
      <c r="J59" s="13" t="s">
        <v>268</v>
      </c>
      <c r="K59" s="68"/>
      <c r="L59" s="75">
        <f t="shared" si="14"/>
        <v>31346.261208490469</v>
      </c>
      <c r="M59" s="64"/>
      <c r="N59" s="631">
        <f t="shared" si="15"/>
        <v>2.0109941965403926E-2</v>
      </c>
    </row>
    <row r="60" spans="4:14" x14ac:dyDescent="0.25">
      <c r="D60" s="65"/>
      <c r="E60" s="65"/>
      <c r="F60" s="64"/>
      <c r="G60" s="64"/>
      <c r="H60" s="15"/>
      <c r="I60" s="74">
        <v>9257028</v>
      </c>
      <c r="J60" s="67" t="s">
        <v>70</v>
      </c>
      <c r="K60" s="68"/>
      <c r="L60" s="75">
        <f t="shared" si="14"/>
        <v>189169.31816563662</v>
      </c>
      <c r="M60" s="64"/>
      <c r="N60" s="631">
        <f t="shared" si="15"/>
        <v>8.431307036156635E-2</v>
      </c>
    </row>
    <row r="61" spans="4:14" x14ac:dyDescent="0.25">
      <c r="D61" s="65"/>
      <c r="E61" s="65"/>
      <c r="F61" s="64"/>
      <c r="G61" s="64"/>
      <c r="H61" s="15"/>
      <c r="I61" s="74">
        <v>9257021</v>
      </c>
      <c r="J61" s="67" t="s">
        <v>263</v>
      </c>
      <c r="K61" s="68"/>
      <c r="L61" s="75">
        <f t="shared" si="14"/>
        <v>109983.50096508348</v>
      </c>
      <c r="M61" s="64"/>
      <c r="N61" s="631">
        <f t="shared" si="15"/>
        <v>4.6941257906027108E-2</v>
      </c>
    </row>
    <row r="62" spans="4:14" x14ac:dyDescent="0.25">
      <c r="D62" s="65"/>
      <c r="E62" s="65"/>
      <c r="F62" s="64"/>
      <c r="G62" s="64"/>
      <c r="H62" s="15"/>
      <c r="I62" s="74">
        <v>9257015</v>
      </c>
      <c r="J62" s="67" t="s">
        <v>72</v>
      </c>
      <c r="K62" s="68"/>
      <c r="L62" s="75">
        <f t="shared" si="14"/>
        <v>246922.72150683822</v>
      </c>
      <c r="M62" s="64"/>
      <c r="N62" s="631">
        <f t="shared" si="15"/>
        <v>8.2095087861609128E-2</v>
      </c>
    </row>
    <row r="63" spans="4:14" x14ac:dyDescent="0.25">
      <c r="D63" s="65"/>
      <c r="E63" s="65"/>
      <c r="F63" s="64"/>
      <c r="G63" s="64"/>
      <c r="H63" s="15"/>
      <c r="I63" s="74">
        <v>9257016</v>
      </c>
      <c r="J63" s="67" t="s">
        <v>73</v>
      </c>
      <c r="K63" s="68"/>
      <c r="L63" s="75">
        <f t="shared" si="14"/>
        <v>118662.15636895597</v>
      </c>
      <c r="M63" s="64"/>
      <c r="N63" s="631">
        <f t="shared" si="15"/>
        <v>3.7849055572463708E-2</v>
      </c>
    </row>
    <row r="64" spans="4:14" x14ac:dyDescent="0.25">
      <c r="D64" s="64"/>
      <c r="E64" s="64"/>
      <c r="F64" s="64"/>
      <c r="G64" s="64"/>
      <c r="H64" s="15"/>
      <c r="I64" s="67"/>
      <c r="J64" s="67"/>
      <c r="K64" s="68"/>
      <c r="L64" s="67"/>
      <c r="M64" s="64"/>
      <c r="N64" s="15"/>
    </row>
    <row r="65" spans="3:18" x14ac:dyDescent="0.25">
      <c r="C65" s="15"/>
      <c r="D65" s="64"/>
      <c r="E65" s="64"/>
      <c r="F65" s="64"/>
      <c r="G65" s="64"/>
      <c r="H65" s="15"/>
      <c r="I65" s="67"/>
      <c r="J65" s="67"/>
      <c r="K65" s="68"/>
      <c r="L65" s="75">
        <f>SUM(L47:L64)</f>
        <v>2199470.5656672739</v>
      </c>
      <c r="M65" s="64"/>
      <c r="N65" s="76"/>
      <c r="O65" s="15"/>
      <c r="P65" s="15"/>
      <c r="Q65" s="15"/>
      <c r="R65" s="15"/>
    </row>
    <row r="68" spans="3:18" ht="37.5" x14ac:dyDescent="0.25">
      <c r="C68" s="15"/>
      <c r="D68" s="342" t="s">
        <v>13</v>
      </c>
      <c r="E68" s="342" t="s">
        <v>14</v>
      </c>
      <c r="F68" s="342" t="s">
        <v>43</v>
      </c>
      <c r="G68" s="342" t="s">
        <v>51</v>
      </c>
      <c r="H68" s="349" t="s">
        <v>52</v>
      </c>
      <c r="I68" s="349" t="s">
        <v>323</v>
      </c>
      <c r="J68" s="349" t="s">
        <v>53</v>
      </c>
      <c r="K68" s="342" t="s">
        <v>54</v>
      </c>
      <c r="L68" s="349" t="s">
        <v>55</v>
      </c>
      <c r="M68" s="342" t="s">
        <v>338</v>
      </c>
      <c r="N68" s="349" t="s">
        <v>235</v>
      </c>
      <c r="O68" s="349" t="s">
        <v>339</v>
      </c>
      <c r="P68" s="349" t="s">
        <v>277</v>
      </c>
      <c r="Q68" s="349" t="s">
        <v>217</v>
      </c>
      <c r="R68" s="349" t="s">
        <v>326</v>
      </c>
    </row>
    <row r="70" spans="3:18" x14ac:dyDescent="0.25">
      <c r="C70" s="15" t="s">
        <v>344</v>
      </c>
      <c r="D70" s="65">
        <v>7719530</v>
      </c>
      <c r="E70" s="65">
        <v>2022800</v>
      </c>
      <c r="F70" s="65">
        <v>1045220</v>
      </c>
      <c r="G70" s="65">
        <v>516840</v>
      </c>
      <c r="H70" s="65">
        <v>24839924.127121158</v>
      </c>
      <c r="I70" s="65">
        <v>0</v>
      </c>
      <c r="J70" s="65">
        <v>341650.4</v>
      </c>
      <c r="K70" s="65">
        <v>36485964.527121156</v>
      </c>
      <c r="L70" s="65">
        <v>34923904.527121156</v>
      </c>
      <c r="M70" s="81">
        <v>2184</v>
      </c>
      <c r="N70" s="65">
        <v>2515167.8962615705</v>
      </c>
      <c r="O70" s="65">
        <v>2077.8500143163265</v>
      </c>
      <c r="P70" s="65"/>
      <c r="Q70" s="65">
        <v>91355.174520499058</v>
      </c>
      <c r="R70" s="65">
        <v>35015259.701641656</v>
      </c>
    </row>
    <row r="71" spans="3:18" x14ac:dyDescent="0.25">
      <c r="C71" s="15"/>
      <c r="D71" s="65"/>
      <c r="E71" s="65"/>
      <c r="F71" s="65"/>
      <c r="G71" s="65"/>
      <c r="H71" s="65"/>
      <c r="I71" s="65"/>
      <c r="J71" s="65"/>
      <c r="K71" s="65"/>
      <c r="L71" s="65"/>
      <c r="M71" s="81"/>
      <c r="N71" s="65"/>
      <c r="O71" s="65"/>
      <c r="P71" s="65"/>
      <c r="Q71" s="65"/>
      <c r="R71" s="65"/>
    </row>
    <row r="72" spans="3:18" x14ac:dyDescent="0.25">
      <c r="C72" s="15" t="s">
        <v>1</v>
      </c>
      <c r="D72" s="65">
        <f>D22-D70</f>
        <v>250409.1500000013</v>
      </c>
      <c r="E72" s="65">
        <f t="shared" ref="E72:R72" si="16">E22-E70</f>
        <v>60684</v>
      </c>
      <c r="F72" s="65">
        <f t="shared" si="16"/>
        <v>137036</v>
      </c>
      <c r="G72" s="65">
        <f t="shared" si="16"/>
        <v>567503.19999999995</v>
      </c>
      <c r="H72" s="65">
        <f t="shared" si="16"/>
        <v>875206.64123566076</v>
      </c>
      <c r="I72" s="65">
        <f t="shared" si="16"/>
        <v>0</v>
      </c>
      <c r="J72" s="65">
        <f t="shared" si="16"/>
        <v>41948.199999999895</v>
      </c>
      <c r="K72" s="65">
        <f t="shared" si="16"/>
        <v>1932787.191235669</v>
      </c>
      <c r="L72" s="65">
        <f t="shared" si="16"/>
        <v>1228247.9912356734</v>
      </c>
      <c r="M72" s="81">
        <f>M22-M70</f>
        <v>0.58333333333348492</v>
      </c>
      <c r="N72" s="65">
        <f t="shared" si="16"/>
        <v>52950.045697262976</v>
      </c>
      <c r="O72" s="65">
        <f t="shared" si="16"/>
        <v>1.5084586564880738</v>
      </c>
      <c r="P72" s="65">
        <f t="shared" si="16"/>
        <v>0</v>
      </c>
      <c r="Q72" s="65">
        <f t="shared" si="16"/>
        <v>-34.183957567423931</v>
      </c>
      <c r="R72" s="662">
        <f t="shared" si="16"/>
        <v>1228213.8072781041</v>
      </c>
    </row>
    <row r="74" spans="3:18" x14ac:dyDescent="0.25">
      <c r="C74" s="15"/>
      <c r="D74" s="64"/>
      <c r="E74" s="64"/>
      <c r="F74" s="64"/>
      <c r="G74" s="64"/>
      <c r="H74" s="15"/>
      <c r="I74" s="15"/>
      <c r="J74" s="15"/>
      <c r="K74" s="64"/>
      <c r="L74" s="15"/>
      <c r="M74" s="64"/>
      <c r="N74" s="15"/>
      <c r="O74" s="15"/>
      <c r="P74" s="15"/>
      <c r="Q74" s="740">
        <f>K72+Q72</f>
        <v>1932753.0072781015</v>
      </c>
      <c r="R74" s="15"/>
    </row>
  </sheetData>
  <conditionalFormatting sqref="C4">
    <cfRule type="cellIs" dxfId="13" priority="39" operator="equal">
      <formula>$C$26</formula>
    </cfRule>
    <cfRule type="cellIs" dxfId="12" priority="42" operator="equal">
      <formula>$C$26</formula>
    </cfRule>
  </conditionalFormatting>
  <pageMargins left="0.7" right="0.7" top="0.75" bottom="0.75" header="0.3" footer="0.3"/>
  <pageSetup orientation="portrait" horizontalDpi="90" verticalDpi="9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2073E-E108-4677-A783-EE396163D46D}">
  <sheetPr>
    <tabColor rgb="FFFFC000"/>
  </sheetPr>
  <dimension ref="A1:AH49"/>
  <sheetViews>
    <sheetView workbookViewId="0">
      <selection activeCell="D3" sqref="D3"/>
    </sheetView>
  </sheetViews>
  <sheetFormatPr defaultColWidth="10.26953125" defaultRowHeight="12.5" x14ac:dyDescent="0.25"/>
  <cols>
    <col min="1" max="1" width="10.26953125" style="10"/>
    <col min="2" max="2" width="31.54296875" style="10" customWidth="1"/>
    <col min="3" max="3" width="26.54296875" style="10" customWidth="1"/>
    <col min="4" max="7" width="15.7265625" style="11" customWidth="1"/>
    <col min="8" max="10" width="15.7265625" style="10" customWidth="1"/>
    <col min="11" max="11" width="15.7265625" style="11" customWidth="1"/>
    <col min="12" max="12" width="17.26953125" style="10" customWidth="1"/>
    <col min="13" max="13" width="10.26953125" style="11"/>
    <col min="14" max="16" width="13.81640625" style="10" customWidth="1"/>
    <col min="17" max="17" width="10.90625" style="10" bestFit="1" customWidth="1"/>
    <col min="18" max="19" width="11.1796875" style="10" customWidth="1"/>
    <col min="20" max="20" width="10.26953125" style="10"/>
    <col min="21" max="21" width="10.90625" style="12" bestFit="1" customWidth="1"/>
    <col min="22" max="24" width="11.81640625" style="11" customWidth="1"/>
    <col min="25" max="25" width="10.90625" style="11" bestFit="1" customWidth="1"/>
    <col min="26" max="26" width="11.1796875" style="10" customWidth="1"/>
    <col min="27" max="27" width="11.26953125" style="10" customWidth="1"/>
    <col min="28" max="28" width="9.81640625" style="11" bestFit="1" customWidth="1"/>
    <col min="29" max="29" width="10.26953125" style="10"/>
    <col min="30" max="32" width="14.453125" style="10" bestFit="1" customWidth="1"/>
    <col min="33" max="16384" width="10.26953125" style="10"/>
  </cols>
  <sheetData>
    <row r="1" spans="1:34" ht="17.5" x14ac:dyDescent="0.35">
      <c r="A1" s="15"/>
      <c r="B1" s="14" t="s">
        <v>1195</v>
      </c>
      <c r="C1" s="15"/>
      <c r="D1" s="64"/>
      <c r="E1" s="64"/>
      <c r="F1" s="64"/>
      <c r="G1" s="64"/>
      <c r="H1" s="15"/>
      <c r="I1" s="15"/>
      <c r="J1" s="15"/>
      <c r="K1" s="64"/>
      <c r="L1" s="15"/>
      <c r="M1" s="64"/>
      <c r="N1" s="15"/>
      <c r="O1" s="15"/>
      <c r="P1" s="15"/>
      <c r="Q1" s="15"/>
      <c r="R1" s="15" t="s">
        <v>320</v>
      </c>
      <c r="S1" s="15"/>
      <c r="T1" s="15"/>
      <c r="U1" s="65"/>
      <c r="V1" s="64"/>
      <c r="W1" s="64"/>
      <c r="X1" s="64"/>
      <c r="Y1" s="64"/>
      <c r="Z1" s="15"/>
      <c r="AA1" s="15"/>
      <c r="AB1" s="64"/>
      <c r="AC1" s="15"/>
      <c r="AD1" s="15"/>
      <c r="AE1" s="15"/>
      <c r="AF1" s="15"/>
      <c r="AG1" s="15"/>
      <c r="AH1" s="15"/>
    </row>
    <row r="2" spans="1:34" ht="12.75" customHeight="1" x14ac:dyDescent="0.25">
      <c r="A2" s="15"/>
      <c r="B2" s="15"/>
      <c r="C2" s="15"/>
      <c r="D2" s="64"/>
      <c r="E2" s="64"/>
      <c r="F2" s="64"/>
      <c r="G2" s="64"/>
      <c r="H2" s="15"/>
      <c r="I2" s="15"/>
      <c r="J2" s="15"/>
      <c r="K2" s="64"/>
      <c r="L2" s="15"/>
      <c r="M2" s="64"/>
      <c r="N2" s="15"/>
      <c r="O2" s="15"/>
      <c r="P2" s="15"/>
      <c r="Q2" s="15"/>
      <c r="R2" s="15"/>
      <c r="S2" s="15"/>
      <c r="T2" s="15"/>
      <c r="U2" s="65"/>
      <c r="V2" s="64"/>
      <c r="W2" s="64"/>
      <c r="X2" s="64"/>
      <c r="Y2" s="64"/>
      <c r="Z2" s="15"/>
      <c r="AA2" s="15"/>
      <c r="AB2" s="64"/>
      <c r="AC2" s="15"/>
      <c r="AD2" s="15"/>
      <c r="AE2" s="15"/>
      <c r="AF2" s="15"/>
      <c r="AG2" s="15"/>
      <c r="AH2" s="15"/>
    </row>
    <row r="3" spans="1:34" ht="39" customHeight="1" x14ac:dyDescent="0.3">
      <c r="A3" s="66" t="s">
        <v>48</v>
      </c>
      <c r="B3" s="67" t="s">
        <v>49</v>
      </c>
      <c r="C3" s="71" t="s">
        <v>322</v>
      </c>
      <c r="D3" s="70" t="s">
        <v>13</v>
      </c>
      <c r="E3" s="70" t="s">
        <v>14</v>
      </c>
      <c r="F3" s="68" t="s">
        <v>43</v>
      </c>
      <c r="G3" s="68" t="s">
        <v>51</v>
      </c>
      <c r="H3" s="71" t="s">
        <v>52</v>
      </c>
      <c r="I3" s="71" t="s">
        <v>53</v>
      </c>
      <c r="J3" s="68" t="s">
        <v>54</v>
      </c>
      <c r="K3" s="71" t="s">
        <v>55</v>
      </c>
      <c r="L3" s="71" t="s">
        <v>1102</v>
      </c>
      <c r="M3" s="371" t="s">
        <v>235</v>
      </c>
      <c r="N3" s="372" t="s">
        <v>1103</v>
      </c>
      <c r="O3" s="373" t="s">
        <v>277</v>
      </c>
      <c r="P3" s="111" t="s">
        <v>217</v>
      </c>
      <c r="Q3" s="111" t="s">
        <v>326</v>
      </c>
      <c r="R3" s="111" t="s">
        <v>218</v>
      </c>
      <c r="S3" s="111" t="s">
        <v>219</v>
      </c>
      <c r="T3" s="71" t="s">
        <v>56</v>
      </c>
      <c r="U3" s="72" t="s">
        <v>57</v>
      </c>
      <c r="V3" s="577" t="s">
        <v>327</v>
      </c>
      <c r="W3" s="577" t="s">
        <v>328</v>
      </c>
      <c r="X3" s="578" t="s">
        <v>58</v>
      </c>
      <c r="Y3" s="578" t="s">
        <v>119</v>
      </c>
      <c r="Z3" s="72" t="s">
        <v>59</v>
      </c>
      <c r="AA3" s="71" t="s">
        <v>329</v>
      </c>
      <c r="AB3" s="15"/>
      <c r="AC3" s="73"/>
      <c r="AD3" s="73"/>
      <c r="AE3" s="90"/>
      <c r="AF3" s="15"/>
      <c r="AG3" s="73"/>
    </row>
    <row r="4" spans="1:34" x14ac:dyDescent="0.25">
      <c r="A4" s="74">
        <v>9257010</v>
      </c>
      <c r="B4" s="67" t="s">
        <v>333</v>
      </c>
      <c r="C4" s="652" t="str">
        <f>IF(H4&lt;'2425 School Size Ranges'!$E$4,'2425 School Size Ranges'!$D$4,IF(H4&lt;'2425 School Size Ranges'!$E$5,'2425 School Size Ranges'!$D$5,IF('2425 Funding Detail'!H4&lt;'2425 School Size Ranges'!$E$6,'2425 School Size Ranges'!$D$6,IF(H4&lt;'2425 School Size Ranges'!$E$7,'2425 School Size Ranges'!$D$7,IF(H4&lt;'2425 School Size Ranges'!$E$8,'2425 School Size Ranges'!$D$8,IF(H4&lt;'2425 School Size Ranges'!$E$9,'2425 School Size Ranges'!$D$9,IF(H4&lt;'2425 School Size Ranges'!$E$10,'2425 School Size Ranges'!$D$10,IF(H4&lt;'2425 School Size Ranges'!$E$11,'2425 School Size Ranges'!$D$11,IF(H4&lt;'2425 School Size Ranges'!$E$12,'2425 School Size Ranges'!$D$12,IF(H4&lt;'2425 School Size Ranges'!$E$13,'2425 School Size Ranges'!$D$13,IF(H4&lt;'2425 School Size Ranges'!$E$14,'2425 School Size Ranges'!$D$14)))))))))))</f>
        <v>School Size 6</v>
      </c>
      <c r="D4" s="75">
        <f>IF(H4&lt;'2425 School Size Ranges'!$E$4,'2425 School Size Ranges'!$H$4,IF(H4&lt;'2425 School Size Ranges'!$E$5,'2425 School Size Ranges'!$H$5,IF('2425 Funding Detail'!H4&lt;'2425 School Size Ranges'!$E$6,'2425 School Size Ranges'!$H$6,IF(H4&lt;'2425 School Size Ranges'!$E$7,'2425 School Size Ranges'!$H$7,IF(H4&lt;'2425 School Size Ranges'!$E$8,'2425 School Size Ranges'!$H$8,IF(H4&lt;'2425 School Size Ranges'!$E$9,'2425 School Size Ranges'!$H$9,IF(H4&lt;'2425 School Size Ranges'!$E$10,'2425 School Size Ranges'!$H$10,IF(H4&lt;'2425 School Size Ranges'!$E$11,'2425 School Size Ranges'!$H$11,IF(H4&lt;'2425 School Size Ranges'!$E$12,'2425 School Size Ranges'!$H$12,IF(H4&lt;'2425 School Size Ranges'!$E$13,'2425 School Size Ranges'!$H$13,IF(H4&lt;'2425 School Size Ranges'!$E$14,'2425 School Size Ranges'!$H$14)))))))))))</f>
        <v>614312</v>
      </c>
      <c r="E4" s="75">
        <f>IF(H4&lt;'2425 School Size Ranges'!$E$4,'2425 School Size Ranges'!$I$4,IF(H4&lt;'2425 School Size Ranges'!$E$5,'2425 School Size Ranges'!$I$5,IF('2425 Funding Detail'!H4&lt;'2425 School Size Ranges'!$E$6,'2425 School Size Ranges'!$I$6,IF(H4&lt;'2425 School Size Ranges'!$E$7,'2425 School Size Ranges'!$I$7,IF(H4&lt;'2425 School Size Ranges'!$E$8,'2425 School Size Ranges'!$I$8,IF(H4&lt;'2425 School Size Ranges'!$E$9,'2425 School Size Ranges'!$I$9,IF(H4&lt;'2425 School Size Ranges'!$E$10,'2425 School Size Ranges'!$I$10,IF(H4&lt;'2425 School Size Ranges'!$E$11,'2425 School Size Ranges'!$I$11,IF(H4&lt;'2425 School Size Ranges'!$E$12,'2425 School Size Ranges'!$I$12,IF(H4&lt;'2425 School Size Ranges'!$E$13,'2425 School Size Ranges'!$I$13,IF(H4&lt;'2425 School Size Ranges'!$E$14,'2425 School Size Ranges'!$I$14)))))))))))</f>
        <v>161337</v>
      </c>
      <c r="F4" s="75"/>
      <c r="G4" s="75"/>
      <c r="H4" s="77">
        <f>VLOOKUP(A4,'2425 Band Calculations'!$A$104:$T$120,10,FALSE)</f>
        <v>2026909.1643835616</v>
      </c>
      <c r="I4" s="75">
        <f>VLOOKUP(A4,'2425 FSM Calculation'!$A$4:$D$20,4,FALSE)</f>
        <v>25490.399999999998</v>
      </c>
      <c r="J4" s="75">
        <f t="shared" ref="J4:J20" si="0">SUM(D4:I4)</f>
        <v>2828048.5643835613</v>
      </c>
      <c r="K4" s="77">
        <f>J4-F4-G4</f>
        <v>2828048.5643835613</v>
      </c>
      <c r="L4" s="534">
        <f>VLOOKUP(A4,'2425 Band Calculations'!$A$104:$T$120,19,FALSE)</f>
        <v>152.83333333333334</v>
      </c>
      <c r="M4" s="65">
        <f>VLOOKUP(A4,'2425 Band Calculations'!$A$102:$AN$120,40,(FALSE))</f>
        <v>408379.04109589034</v>
      </c>
      <c r="N4" s="81">
        <f>L4-(L4*(VLOOKUP(A4,'2425 Band Calculations'!$A$6:$J$22,10,(FALSE))))</f>
        <v>137.13127853881281</v>
      </c>
      <c r="O4" s="65">
        <f>(H4-M4)/N4</f>
        <v>11802.778625954197</v>
      </c>
      <c r="P4" s="524">
        <f>'2425 MFG Protection'!L11</f>
        <v>82.458329797119717</v>
      </c>
      <c r="Q4" s="524">
        <f>K4+P4</f>
        <v>2828131.0227133585</v>
      </c>
      <c r="R4" s="65">
        <f>L4*10000</f>
        <v>1528333.3333333335</v>
      </c>
      <c r="S4" s="65">
        <f>IF(R4&gt;Q4,(R4-Q4),(0))</f>
        <v>0</v>
      </c>
      <c r="T4" s="72">
        <f>Q4/L4</f>
        <v>18504.674085365485</v>
      </c>
      <c r="U4" s="72">
        <f t="shared" ref="U4:U20" si="1">L4*10000</f>
        <v>1528333.3333333335</v>
      </c>
      <c r="V4" s="72"/>
      <c r="W4" s="72"/>
      <c r="X4" s="72">
        <f>T4-10000</f>
        <v>8504.6740853654846</v>
      </c>
      <c r="Y4" s="75">
        <f>Q4-U4</f>
        <v>1299797.689380025</v>
      </c>
      <c r="Z4" s="75">
        <f>U4+Y4</f>
        <v>2828131.0227133585</v>
      </c>
      <c r="AA4" s="75">
        <f>Q4-Z4</f>
        <v>0</v>
      </c>
      <c r="AB4" s="15"/>
      <c r="AC4" s="65"/>
      <c r="AD4" s="65"/>
      <c r="AE4" s="65"/>
      <c r="AF4" s="535"/>
      <c r="AG4" s="76"/>
    </row>
    <row r="5" spans="1:34" x14ac:dyDescent="0.25">
      <c r="A5" s="74">
        <v>9257005</v>
      </c>
      <c r="B5" s="67" t="s">
        <v>259</v>
      </c>
      <c r="C5" s="652" t="str">
        <f>IF(H5&lt;'2425 School Size Ranges'!$E$4,'2425 School Size Ranges'!$D$4,IF(H5&lt;'2425 School Size Ranges'!$E$5,'2425 School Size Ranges'!$D$5,IF('2425 Funding Detail'!H5&lt;'2425 School Size Ranges'!$E$6,'2425 School Size Ranges'!$D$6,IF(H5&lt;'2425 School Size Ranges'!$E$7,'2425 School Size Ranges'!$D$7,IF(H5&lt;'2425 School Size Ranges'!$E$8,'2425 School Size Ranges'!$D$8,IF(H5&lt;'2425 School Size Ranges'!$E$9,'2425 School Size Ranges'!$D$9,IF(H5&lt;'2425 School Size Ranges'!$E$10,'2425 School Size Ranges'!$D$10,IF(H5&lt;'2425 School Size Ranges'!$E$11,'2425 School Size Ranges'!$D$11,IF(H5&lt;'2425 School Size Ranges'!$E$12,'2425 School Size Ranges'!$D$12,IF(H5&lt;'2425 School Size Ranges'!$E$13,'2425 School Size Ranges'!$D$13,IF(H5&lt;'2425 School Size Ranges'!$E$14,'2425 School Size Ranges'!$D$14)))))))))))</f>
        <v>School Size 4 Transition Point</v>
      </c>
      <c r="D5" s="75">
        <f>IF(H5&lt;'2425 School Size Ranges'!$E$4,'2425 School Size Ranges'!$H$4,IF(H5&lt;'2425 School Size Ranges'!$E$5,'2425 School Size Ranges'!$H$5,IF('2425 Funding Detail'!H5&lt;'2425 School Size Ranges'!$E$6,'2425 School Size Ranges'!$H$6,IF(H5&lt;'2425 School Size Ranges'!$E$7,'2425 School Size Ranges'!$H$7,IF(H5&lt;'2425 School Size Ranges'!$E$8,'2425 School Size Ranges'!$H$8,IF(H5&lt;'2425 School Size Ranges'!$E$9,'2425 School Size Ranges'!$H$9,IF(H5&lt;'2425 School Size Ranges'!$E$10,'2425 School Size Ranges'!$H$10,IF(H5&lt;'2425 School Size Ranges'!$E$11,'2425 School Size Ranges'!$H$11,IF(H5&lt;'2425 School Size Ranges'!$E$12,'2425 School Size Ranges'!$H$12,IF(H5&lt;'2425 School Size Ranges'!$E$13,'2425 School Size Ranges'!$H$13,IF(H5&lt;'2425 School Size Ranges'!$E$14,'2425 School Size Ranges'!$H$14)))))))))))</f>
        <v>470457</v>
      </c>
      <c r="E5" s="75">
        <f>IF(H5&lt;'2425 School Size Ranges'!$E$4,'2425 School Size Ranges'!$I$4,IF(H5&lt;'2425 School Size Ranges'!$E$5,'2425 School Size Ranges'!$I$5,IF('2425 Funding Detail'!H5&lt;'2425 School Size Ranges'!$E$6,'2425 School Size Ranges'!$I$6,IF(H5&lt;'2425 School Size Ranges'!$E$7,'2425 School Size Ranges'!$I$7,IF(H5&lt;'2425 School Size Ranges'!$E$8,'2425 School Size Ranges'!$I$8,IF(H5&lt;'2425 School Size Ranges'!$E$9,'2425 School Size Ranges'!$I$9,IF(H5&lt;'2425 School Size Ranges'!$E$10,'2425 School Size Ranges'!$I$10,IF(H5&lt;'2425 School Size Ranges'!$E$11,'2425 School Size Ranges'!$I$11,IF(H5&lt;'2425 School Size Ranges'!$E$12,'2425 School Size Ranges'!$I$12,IF(H5&lt;'2425 School Size Ranges'!$E$13,'2425 School Size Ranges'!$I$13,IF(H5&lt;'2425 School Size Ranges'!$E$14,'2425 School Size Ranges'!$I$14)))))))))))</f>
        <v>131813</v>
      </c>
      <c r="F5" s="75"/>
      <c r="G5" s="75"/>
      <c r="H5" s="77">
        <f>VLOOKUP(A5,'2425 Band Calculations'!$A$104:$T$120,10,FALSE)</f>
        <v>1186521.0058685446</v>
      </c>
      <c r="I5" s="75">
        <f>VLOOKUP(A5,'2425 FSM Calculation'!$A$4:$D$20,4,FALSE)</f>
        <v>11764.8</v>
      </c>
      <c r="J5" s="75">
        <f t="shared" si="0"/>
        <v>1800555.8058685446</v>
      </c>
      <c r="K5" s="77">
        <f t="shared" ref="K5:K20" si="2">J5-F5-G5</f>
        <v>1800555.8058685446</v>
      </c>
      <c r="L5" s="534">
        <f>VLOOKUP(A5,'2425 Band Calculations'!$A$104:$T$120,19,FALSE)</f>
        <v>75.583333333333343</v>
      </c>
      <c r="M5" s="65">
        <f>VLOOKUP(A5,'2425 Band Calculations'!$A$102:$AN$120,40,(FALSE))</f>
        <v>249182.28169014084</v>
      </c>
      <c r="N5" s="81">
        <f>L5-(L5*(VLOOKUP(A5,'2425 Band Calculations'!$A$6:$J$22,10,(FALSE))))</f>
        <v>66.002347417840383</v>
      </c>
      <c r="O5" s="65">
        <f t="shared" ref="O5:O20" si="3">(H5-M5)/N5</f>
        <v>14201.596774193546</v>
      </c>
      <c r="P5" s="524">
        <f>'2425 MFG Protection'!L20</f>
        <v>0</v>
      </c>
      <c r="Q5" s="524">
        <f t="shared" ref="Q5:Q19" si="4">K5+P5</f>
        <v>1800555.8058685446</v>
      </c>
      <c r="R5" s="65">
        <f t="shared" ref="R5:R20" si="5">L5*10000</f>
        <v>755833.33333333337</v>
      </c>
      <c r="S5" s="65">
        <f t="shared" ref="S5:S20" si="6">IF(R5&gt;Q5,(R5-Q5),(0))</f>
        <v>0</v>
      </c>
      <c r="T5" s="72">
        <f t="shared" ref="T5:T20" si="7">Q5/L5</f>
        <v>23822.127530785594</v>
      </c>
      <c r="U5" s="72">
        <f t="shared" si="1"/>
        <v>755833.33333333337</v>
      </c>
      <c r="V5" s="72"/>
      <c r="W5" s="72"/>
      <c r="X5" s="72">
        <f t="shared" ref="X5:X20" si="8">T5-10000</f>
        <v>13822.127530785594</v>
      </c>
      <c r="Y5" s="75">
        <f t="shared" ref="Y5:Y20" si="9">Q5-U5</f>
        <v>1044722.4725352112</v>
      </c>
      <c r="Z5" s="75">
        <f t="shared" ref="Z5:Z20" si="10">U5+Y5</f>
        <v>1800555.8058685446</v>
      </c>
      <c r="AA5" s="75">
        <f t="shared" ref="AA5:AA20" si="11">Q5-Z5</f>
        <v>0</v>
      </c>
      <c r="AB5" s="15"/>
      <c r="AC5" s="65"/>
      <c r="AD5" s="65"/>
      <c r="AE5" s="65"/>
      <c r="AF5" s="535"/>
      <c r="AG5" s="15"/>
    </row>
    <row r="6" spans="1:34" x14ac:dyDescent="0.25">
      <c r="A6" s="74">
        <v>9257025</v>
      </c>
      <c r="B6" s="67" t="s">
        <v>260</v>
      </c>
      <c r="C6" s="652" t="str">
        <f>IF(H6&lt;'2425 School Size Ranges'!$E$4,'2425 School Size Ranges'!$D$4,IF(H6&lt;'2425 School Size Ranges'!$E$5,'2425 School Size Ranges'!$D$5,IF('2425 Funding Detail'!H6&lt;'2425 School Size Ranges'!$E$6,'2425 School Size Ranges'!$D$6,IF(H6&lt;'2425 School Size Ranges'!$E$7,'2425 School Size Ranges'!$D$7,IF(H6&lt;'2425 School Size Ranges'!$E$8,'2425 School Size Ranges'!$D$8,IF(H6&lt;'2425 School Size Ranges'!$E$9,'2425 School Size Ranges'!$D$9,IF(H6&lt;'2425 School Size Ranges'!$E$10,'2425 School Size Ranges'!$D$10,IF(H6&lt;'2425 School Size Ranges'!$E$11,'2425 School Size Ranges'!$D$11,IF(H6&lt;'2425 School Size Ranges'!$E$12,'2425 School Size Ranges'!$D$12,IF(H6&lt;'2425 School Size Ranges'!$E$13,'2425 School Size Ranges'!$D$13,IF(H6&lt;'2425 School Size Ranges'!$E$14,'2425 School Size Ranges'!$D$14)))))))))))</f>
        <v>School Size 4 Transition Point</v>
      </c>
      <c r="D6" s="75">
        <f>IF(H6&lt;'2425 School Size Ranges'!$E$4,'2425 School Size Ranges'!$H$4,IF(H6&lt;'2425 School Size Ranges'!$E$5,'2425 School Size Ranges'!$H$5,IF('2425 Funding Detail'!H6&lt;'2425 School Size Ranges'!$E$6,'2425 School Size Ranges'!$H$6,IF(H6&lt;'2425 School Size Ranges'!$E$7,'2425 School Size Ranges'!$H$7,IF(H6&lt;'2425 School Size Ranges'!$E$8,'2425 School Size Ranges'!$H$8,IF(H6&lt;'2425 School Size Ranges'!$E$9,'2425 School Size Ranges'!$H$9,IF(H6&lt;'2425 School Size Ranges'!$E$10,'2425 School Size Ranges'!$H$10,IF(H6&lt;'2425 School Size Ranges'!$E$11,'2425 School Size Ranges'!$H$11,IF(H6&lt;'2425 School Size Ranges'!$E$12,'2425 School Size Ranges'!$H$12,IF(H6&lt;'2425 School Size Ranges'!$E$13,'2425 School Size Ranges'!$H$13,IF(H6&lt;'2425 School Size Ranges'!$E$14,'2425 School Size Ranges'!$H$14)))))))))))</f>
        <v>470457</v>
      </c>
      <c r="E6" s="75">
        <f>IF(H6&lt;'2425 School Size Ranges'!$E$4,'2425 School Size Ranges'!$I$4,IF(H6&lt;'2425 School Size Ranges'!$E$5,'2425 School Size Ranges'!$I$5,IF('2425 Funding Detail'!H6&lt;'2425 School Size Ranges'!$E$6,'2425 School Size Ranges'!$I$6,IF(H6&lt;'2425 School Size Ranges'!$E$7,'2425 School Size Ranges'!$I$7,IF(H6&lt;'2425 School Size Ranges'!$E$8,'2425 School Size Ranges'!$I$8,IF(H6&lt;'2425 School Size Ranges'!$E$9,'2425 School Size Ranges'!$I$9,IF(H6&lt;'2425 School Size Ranges'!$E$10,'2425 School Size Ranges'!$I$10,IF(H6&lt;'2425 School Size Ranges'!$E$11,'2425 School Size Ranges'!$I$11,IF(H6&lt;'2425 School Size Ranges'!$E$12,'2425 School Size Ranges'!$I$12,IF(H6&lt;'2425 School Size Ranges'!$E$13,'2425 School Size Ranges'!$I$13,IF(H6&lt;'2425 School Size Ranges'!$E$14,'2425 School Size Ranges'!$I$14)))))))))))</f>
        <v>131813</v>
      </c>
      <c r="F6" s="75"/>
      <c r="G6" s="75"/>
      <c r="H6" s="77">
        <f>VLOOKUP(A6,'2425 Band Calculations'!$A$104:$T$120,10,FALSE)</f>
        <v>1116251.9296875</v>
      </c>
      <c r="I6" s="75">
        <f>VLOOKUP(A6,'2425 FSM Calculation'!$A$4:$D$20,4,FALSE)</f>
        <v>19608</v>
      </c>
      <c r="J6" s="75">
        <f t="shared" si="0"/>
        <v>1738129.9296875</v>
      </c>
      <c r="K6" s="77">
        <f t="shared" si="2"/>
        <v>1738129.9296875</v>
      </c>
      <c r="L6" s="534">
        <f>VLOOKUP(A6,'2425 Band Calculations'!$A$104:$T$120,19,FALSE)</f>
        <v>106.08333333333334</v>
      </c>
      <c r="M6" s="65">
        <f>VLOOKUP(A6,'2425 Band Calculations'!$A$102:$AN$120,40,(FALSE))</f>
        <v>86219.229166666657</v>
      </c>
      <c r="N6" s="81">
        <f>L6-(L6*(VLOOKUP(A6,'2425 Band Calculations'!$A$6:$J$22,10,(FALSE))))</f>
        <v>102.76822916666667</v>
      </c>
      <c r="O6" s="65">
        <f t="shared" si="3"/>
        <v>10022.870967741936</v>
      </c>
      <c r="P6" s="524">
        <f>'2425 MFG Protection'!L29</f>
        <v>4668.6430989373821</v>
      </c>
      <c r="Q6" s="524">
        <f t="shared" si="4"/>
        <v>1742798.5727864373</v>
      </c>
      <c r="R6" s="65">
        <f t="shared" si="5"/>
        <v>1060833.3333333335</v>
      </c>
      <c r="S6" s="65">
        <f t="shared" si="6"/>
        <v>0</v>
      </c>
      <c r="T6" s="72">
        <f t="shared" si="7"/>
        <v>16428.58041903947</v>
      </c>
      <c r="U6" s="72">
        <f t="shared" si="1"/>
        <v>1060833.3333333335</v>
      </c>
      <c r="V6" s="72"/>
      <c r="W6" s="72"/>
      <c r="X6" s="72">
        <f t="shared" si="8"/>
        <v>6428.5804190394701</v>
      </c>
      <c r="Y6" s="75">
        <f>Q6-U6</f>
        <v>681965.23945310386</v>
      </c>
      <c r="Z6" s="75">
        <f t="shared" si="10"/>
        <v>1742798.5727864373</v>
      </c>
      <c r="AA6" s="75">
        <f t="shared" si="11"/>
        <v>0</v>
      </c>
      <c r="AB6" s="15"/>
      <c r="AC6" s="65"/>
      <c r="AD6" s="65"/>
      <c r="AE6" s="65"/>
      <c r="AF6" s="535"/>
      <c r="AG6" s="15"/>
    </row>
    <row r="7" spans="1:34" x14ac:dyDescent="0.25">
      <c r="A7" s="74">
        <v>9257024</v>
      </c>
      <c r="B7" s="67" t="s">
        <v>261</v>
      </c>
      <c r="C7" s="536" t="str">
        <f>IF(H7&lt;'2425 School Size Ranges'!$E$4,'2425 School Size Ranges'!$D$4,IF(H7&lt;'2425 School Size Ranges'!$E$5,'2425 School Size Ranges'!$D$5,IF('2425 Funding Detail'!H7&lt;'2425 School Size Ranges'!$E$6,'2425 School Size Ranges'!$D$6,IF(H7&lt;'2425 School Size Ranges'!$E$7,'2425 School Size Ranges'!$D$7,IF(H7&lt;'2425 School Size Ranges'!$E$8,'2425 School Size Ranges'!$D$8,IF(H7&lt;'2425 School Size Ranges'!$E$9,'2425 School Size Ranges'!$D$9,IF(H7&lt;'2425 School Size Ranges'!$E$10,'2425 School Size Ranges'!$D$10,IF(H7&lt;'2425 School Size Ranges'!$E$11,'2425 School Size Ranges'!$D$11,IF(H7&lt;'2425 School Size Ranges'!$E$12,'2425 School Size Ranges'!$D$12,IF(H7&lt;'2425 School Size Ranges'!$E$13,'2425 School Size Ranges'!$D$13,IF(H7&lt;'2425 School Size Ranges'!$E$14,'2425 School Size Ranges'!$D$14)))))))))))</f>
        <v>School Size 4</v>
      </c>
      <c r="D7" s="75">
        <f>IF(H7&lt;'2425 School Size Ranges'!$E$4,'2425 School Size Ranges'!$H$4,IF(H7&lt;'2425 School Size Ranges'!$E$5,'2425 School Size Ranges'!$H$5,IF('2425 Funding Detail'!H7&lt;'2425 School Size Ranges'!$E$6,'2425 School Size Ranges'!$H$6,IF(H7&lt;'2425 School Size Ranges'!$E$7,'2425 School Size Ranges'!$H$7,IF(H7&lt;'2425 School Size Ranges'!$E$8,'2425 School Size Ranges'!$H$8,IF(H7&lt;'2425 School Size Ranges'!$E$9,'2425 School Size Ranges'!$H$9,IF(H7&lt;'2425 School Size Ranges'!$E$10,'2425 School Size Ranges'!$H$10,IF(H7&lt;'2425 School Size Ranges'!$E$11,'2425 School Size Ranges'!$H$11,IF(H7&lt;'2425 School Size Ranges'!$E$12,'2425 School Size Ranges'!$H$12,IF(H7&lt;'2425 School Size Ranges'!$E$13,'2425 School Size Ranges'!$H$13,IF(H7&lt;'2425 School Size Ranges'!$E$14,'2425 School Size Ranges'!$H$14)))))))))))</f>
        <v>424777</v>
      </c>
      <c r="E7" s="75">
        <f>IF(H7&lt;'2425 School Size Ranges'!$E$4,'2425 School Size Ranges'!$I$4,IF(H7&lt;'2425 School Size Ranges'!$E$5,'2425 School Size Ranges'!$I$5,IF('2425 Funding Detail'!H7&lt;'2425 School Size Ranges'!$E$6,'2425 School Size Ranges'!$I$6,IF(H7&lt;'2425 School Size Ranges'!$E$7,'2425 School Size Ranges'!$I$7,IF(H7&lt;'2425 School Size Ranges'!$E$8,'2425 School Size Ranges'!$I$8,IF(H7&lt;'2425 School Size Ranges'!$E$9,'2425 School Size Ranges'!$I$9,IF(H7&lt;'2425 School Size Ranges'!$E$10,'2425 School Size Ranges'!$I$10,IF(H7&lt;'2425 School Size Ranges'!$E$11,'2425 School Size Ranges'!$I$11,IF(H7&lt;'2425 School Size Ranges'!$E$12,'2425 School Size Ranges'!$I$12,IF(H7&lt;'2425 School Size Ranges'!$E$13,'2425 School Size Ranges'!$I$13,IF(H7&lt;'2425 School Size Ranges'!$E$14,'2425 School Size Ranges'!$I$14)))))))))))</f>
        <v>125672</v>
      </c>
      <c r="F7" s="75"/>
      <c r="G7" s="75"/>
      <c r="H7" s="77">
        <f>VLOOKUP(A7,'2425 Band Calculations'!$A$104:$T$120,10,FALSE)</f>
        <v>1096660.0245614036</v>
      </c>
      <c r="I7" s="75">
        <f>VLOOKUP(A7,'2425 FSM Calculation'!$A$4:$D$20,4,FALSE)</f>
        <v>21568.799999999999</v>
      </c>
      <c r="J7" s="75">
        <f t="shared" si="0"/>
        <v>1668677.8245614036</v>
      </c>
      <c r="K7" s="77">
        <f t="shared" si="2"/>
        <v>1668677.8245614036</v>
      </c>
      <c r="L7" s="534">
        <f>VLOOKUP(A7,'2425 Band Calculations'!$A$104:$T$120,19,FALSE)</f>
        <v>98.416666666666657</v>
      </c>
      <c r="M7" s="65">
        <f>VLOOKUP(A7,'2425 Band Calculations'!$A$102:$AN$120,40,(FALSE))</f>
        <v>134716.87719298247</v>
      </c>
      <c r="N7" s="81">
        <f>L7-(L7*(VLOOKUP(A7,'2425 Band Calculations'!$A$6:$J$22,10,(FALSE))))</f>
        <v>93.23684210526315</v>
      </c>
      <c r="O7" s="65">
        <f t="shared" si="3"/>
        <v>10317.200000000001</v>
      </c>
      <c r="P7" s="524">
        <f>'2425 MFG Protection'!L47</f>
        <v>4780.2404430071419</v>
      </c>
      <c r="Q7" s="524">
        <f t="shared" si="4"/>
        <v>1673458.0650044107</v>
      </c>
      <c r="R7" s="65">
        <f t="shared" si="5"/>
        <v>984166.66666666663</v>
      </c>
      <c r="S7" s="65">
        <f t="shared" si="6"/>
        <v>0</v>
      </c>
      <c r="T7" s="72">
        <f t="shared" si="7"/>
        <v>17003.807603770474</v>
      </c>
      <c r="U7" s="72">
        <f t="shared" si="1"/>
        <v>984166.66666666663</v>
      </c>
      <c r="V7" s="72"/>
      <c r="W7" s="72"/>
      <c r="X7" s="72">
        <f t="shared" si="8"/>
        <v>7003.8076037704741</v>
      </c>
      <c r="Y7" s="75">
        <f t="shared" si="9"/>
        <v>689291.39833774406</v>
      </c>
      <c r="Z7" s="75">
        <f t="shared" si="10"/>
        <v>1673458.0650044107</v>
      </c>
      <c r="AA7" s="75">
        <f t="shared" si="11"/>
        <v>0</v>
      </c>
      <c r="AB7" s="15"/>
      <c r="AC7" s="65"/>
      <c r="AD7" s="65"/>
      <c r="AE7" s="65"/>
      <c r="AF7" s="535"/>
      <c r="AG7" s="15"/>
    </row>
    <row r="8" spans="1:34" ht="13" x14ac:dyDescent="0.3">
      <c r="A8" s="74">
        <v>9257031</v>
      </c>
      <c r="B8" s="13" t="s">
        <v>169</v>
      </c>
      <c r="C8" s="536" t="str">
        <f>IF(H8&lt;'2425 School Size Ranges'!$E$4,'2425 School Size Ranges'!$D$4,IF(H8&lt;'2425 School Size Ranges'!$E$5,'2425 School Size Ranges'!$D$5,IF('2425 Funding Detail'!H8&lt;'2425 School Size Ranges'!$E$6,'2425 School Size Ranges'!$D$6,IF(H8&lt;'2425 School Size Ranges'!$E$7,'2425 School Size Ranges'!$D$7,IF(H8&lt;'2425 School Size Ranges'!$E$8,'2425 School Size Ranges'!$D$8,IF(H8&lt;'2425 School Size Ranges'!$E$9,'2425 School Size Ranges'!$D$9,IF(H8&lt;'2425 School Size Ranges'!$E$10,'2425 School Size Ranges'!$D$10,IF(H8&lt;'2425 School Size Ranges'!$E$11,'2425 School Size Ranges'!$D$11,IF(H8&lt;'2425 School Size Ranges'!$E$12,'2425 School Size Ranges'!$D$12,IF(H8&lt;'2425 School Size Ranges'!$E$13,'2425 School Size Ranges'!$D$13,IF(H8&lt;'2425 School Size Ranges'!$E$14,'2425 School Size Ranges'!$D$14)))))))))))</f>
        <v>School Size 5</v>
      </c>
      <c r="D8" s="75">
        <f>IF(H8&lt;'2425 School Size Ranges'!$E$4,'2425 School Size Ranges'!$J$4,IF(H8&lt;'2425 School Size Ranges'!$E$5,'2425 School Size Ranges'!$J$5,IF('2425 Funding Detail'!H8&lt;'2425 School Size Ranges'!$E$6,'2425 School Size Ranges'!$J$6,IF(H8&lt;'2425 School Size Ranges'!$E$7,'2425 School Size Ranges'!$J$7,IF(H8&lt;'2425 School Size Ranges'!$E$8,'2425 School Size Ranges'!$J$8,IF(H8&lt;'2425 School Size Ranges'!$E$9,'2425 School Size Ranges'!$J$9,IF(H8&lt;'2425 School Size Ranges'!$E$10,'2425 School Size Ranges'!$J$10,IF(H8&lt;'2425 School Size Ranges'!$E$11,'2425 School Size Ranges'!$J$11,IF(H8&lt;'2425 School Size Ranges'!$E$12,'2425 School Size Ranges'!$J$12,IF(H8&lt;'2425 School Size Ranges'!$E$13,'2425 School Size Ranges'!$J$13,IF(H8&lt;'2425 School Size Ranges'!$E$14,'2425 School Size Ranges'!$J$14)))))))))))</f>
        <v>434185</v>
      </c>
      <c r="E8" s="75">
        <f>IF(H8&lt;'2425 School Size Ranges'!$E$4,'2425 School Size Ranges'!$K$4,IF(H8&lt;'2425 School Size Ranges'!$E$5,'2425 School Size Ranges'!$K$5,IF('2425 Funding Detail'!H8&lt;'2425 School Size Ranges'!$E$6,'2425 School Size Ranges'!$K$6,IF(H8&lt;'2425 School Size Ranges'!$E$7,'2425 School Size Ranges'!$K$7,IF(H8&lt;'2425 School Size Ranges'!$E$8,'2425 School Size Ranges'!$K$8,IF(H8&lt;'2425 School Size Ranges'!$E$9,'2425 School Size Ranges'!$K$9,IF(H8&lt;'2425 School Size Ranges'!$E$10,'2425 School Size Ranges'!$K$10,IF(H8&lt;'2425 School Size Ranges'!$E$11,'2425 School Size Ranges'!$K$11,IF(H8&lt;'2425 School Size Ranges'!$E$12,'2425 School Size Ranges'!$K$12,IF(H8&lt;'2425 School Size Ranges'!$E$13,'2425 School Size Ranges'!$K$13,IF(H8&lt;'2425 School Size Ranges'!$E$14,'2425 School Size Ranges'!$K$14)))))))))))</f>
        <v>102930</v>
      </c>
      <c r="F8" s="928">
        <v>236191</v>
      </c>
      <c r="G8" s="75"/>
      <c r="H8" s="77">
        <f>VLOOKUP(A8,'2425 Band Calculations'!$A$104:$T$120,10,FALSE)</f>
        <v>1289481.25</v>
      </c>
      <c r="I8" s="75">
        <f>VLOOKUP(A8,'2425 FSM Calculation'!$A$4:$D$20,4,FALSE)</f>
        <v>17157</v>
      </c>
      <c r="J8" s="75">
        <f t="shared" si="0"/>
        <v>2079944.25</v>
      </c>
      <c r="K8" s="77">
        <f t="shared" si="2"/>
        <v>1843753.25</v>
      </c>
      <c r="L8" s="534">
        <f>VLOOKUP(A8,'2425 Band Calculations'!$A$104:$T$120,19,FALSE)</f>
        <v>80.416666666666671</v>
      </c>
      <c r="M8" s="65">
        <f>VLOOKUP(A8,'2425 Band Calculations'!$A$102:$AN$120,40,(FALSE))</f>
        <v>0</v>
      </c>
      <c r="N8" s="81">
        <f>L8-(L8*(VLOOKUP(A8,'2425 Band Calculations'!$A$6:$J$22,10,(FALSE))))</f>
        <v>80.416666666666671</v>
      </c>
      <c r="O8" s="65">
        <f t="shared" si="3"/>
        <v>16034.999999999998</v>
      </c>
      <c r="P8" s="524">
        <f>'2425 MFG Protection'!L56</f>
        <v>0</v>
      </c>
      <c r="Q8" s="524">
        <f>K8+P8</f>
        <v>1843753.25</v>
      </c>
      <c r="R8" s="65">
        <f>L8*10000</f>
        <v>804166.66666666674</v>
      </c>
      <c r="S8" s="65">
        <f>IF(R8&gt;Q8,(R8-Q8),(0))</f>
        <v>0</v>
      </c>
      <c r="T8" s="72">
        <f>Q8/L8</f>
        <v>22927.501554404145</v>
      </c>
      <c r="U8" s="72">
        <f>L8*10000</f>
        <v>804166.66666666674</v>
      </c>
      <c r="V8" s="72"/>
      <c r="W8" s="72"/>
      <c r="X8" s="72">
        <f>T8-10000</f>
        <v>12927.501554404145</v>
      </c>
      <c r="Y8" s="75">
        <f>Q8-U8</f>
        <v>1039586.5833333333</v>
      </c>
      <c r="Z8" s="75">
        <f>U8+Y8</f>
        <v>1843753.25</v>
      </c>
      <c r="AA8" s="75">
        <f>Q8-Z8</f>
        <v>0</v>
      </c>
      <c r="AB8" s="15"/>
      <c r="AC8" s="65"/>
      <c r="AD8" s="65"/>
      <c r="AE8" s="65"/>
      <c r="AF8" s="535"/>
      <c r="AG8" s="15"/>
    </row>
    <row r="9" spans="1:34" x14ac:dyDescent="0.25">
      <c r="A9" s="74">
        <v>9257033</v>
      </c>
      <c r="B9" s="67" t="s">
        <v>269</v>
      </c>
      <c r="C9" s="652" t="str">
        <f>IF(H9&lt;'2425 School Size Ranges'!$E$4,'2425 School Size Ranges'!$D$4,IF(H9&lt;'2425 School Size Ranges'!$E$5,'2425 School Size Ranges'!$D$5,IF('2425 Funding Detail'!H9&lt;'2425 School Size Ranges'!$E$6,'2425 School Size Ranges'!$D$6,IF(H9&lt;'2425 School Size Ranges'!$E$7,'2425 School Size Ranges'!$D$7,IF(H9&lt;'2425 School Size Ranges'!$E$8,'2425 School Size Ranges'!$D$8,IF(H9&lt;'2425 School Size Ranges'!$E$9,'2425 School Size Ranges'!$D$9,IF(H9&lt;'2425 School Size Ranges'!$E$10,'2425 School Size Ranges'!$D$10,IF(H9&lt;'2425 School Size Ranges'!$E$11,'2425 School Size Ranges'!$D$11,IF(H9&lt;'2425 School Size Ranges'!$E$12,'2425 School Size Ranges'!$D$12,IF(H9&lt;'2425 School Size Ranges'!$E$13,'2425 School Size Ranges'!$D$13,IF(H9&lt;'2425 School Size Ranges'!$E$14,'2425 School Size Ranges'!$D$14)))))))))))</f>
        <v>School Size 4 Transition Point</v>
      </c>
      <c r="D9" s="75">
        <f>IF(H9&lt;'2425 School Size Ranges'!$E$4,'2425 School Size Ranges'!$H$4,IF(H9&lt;'2425 School Size Ranges'!$E$5,'2425 School Size Ranges'!$H$5,IF('2425 Funding Detail'!H9&lt;'2425 School Size Ranges'!$E$6,'2425 School Size Ranges'!$H$6,IF(H9&lt;'2425 School Size Ranges'!$E$7,'2425 School Size Ranges'!$H$7,IF(H9&lt;'2425 School Size Ranges'!$E$8,'2425 School Size Ranges'!$H$8,IF(H9&lt;'2425 School Size Ranges'!$E$9,'2425 School Size Ranges'!$H$9,IF(H9&lt;'2425 School Size Ranges'!$E$10,'2425 School Size Ranges'!$H$10,IF(H9&lt;'2425 School Size Ranges'!$E$11,'2425 School Size Ranges'!$H$11,IF(H9&lt;'2425 School Size Ranges'!$E$12,'2425 School Size Ranges'!$H$12,IF(H9&lt;'2425 School Size Ranges'!$E$13,'2425 School Size Ranges'!$H$13,IF(H9&lt;'2425 School Size Ranges'!$E$14,'2425 School Size Ranges'!$H$14)))))))))))</f>
        <v>470457</v>
      </c>
      <c r="E9" s="75">
        <f>IF(H9&lt;'2425 School Size Ranges'!$E$4,'2425 School Size Ranges'!$I$4,IF(H9&lt;'2425 School Size Ranges'!$E$5,'2425 School Size Ranges'!$I$5,IF('2425 Funding Detail'!H9&lt;'2425 School Size Ranges'!$E$6,'2425 School Size Ranges'!$I$6,IF(H9&lt;'2425 School Size Ranges'!$E$7,'2425 School Size Ranges'!$I$7,IF(H9&lt;'2425 School Size Ranges'!$E$8,'2425 School Size Ranges'!$I$8,IF(H9&lt;'2425 School Size Ranges'!$E$9,'2425 School Size Ranges'!$I$9,IF(H9&lt;'2425 School Size Ranges'!$E$10,'2425 School Size Ranges'!$I$10,IF(H9&lt;'2425 School Size Ranges'!$E$11,'2425 School Size Ranges'!$I$11,IF(H9&lt;'2425 School Size Ranges'!$E$12,'2425 School Size Ranges'!$I$12,IF(H9&lt;'2425 School Size Ranges'!$E$13,'2425 School Size Ranges'!$I$13,IF(H9&lt;'2425 School Size Ranges'!$E$14,'2425 School Size Ranges'!$I$14)))))))))))</f>
        <v>131813</v>
      </c>
      <c r="F9" s="69"/>
      <c r="G9" s="75"/>
      <c r="H9" s="77">
        <f>VLOOKUP(A9,'2425 Band Calculations'!$A$104:$T$120,10,FALSE)</f>
        <v>1124841.6570796459</v>
      </c>
      <c r="I9" s="75">
        <f>VLOOKUP(A9,'2425 FSM Calculation'!$A$4:$D$20,4,FALSE)</f>
        <v>33823.799999999996</v>
      </c>
      <c r="J9" s="75">
        <f t="shared" si="0"/>
        <v>1760935.4570796459</v>
      </c>
      <c r="K9" s="77">
        <f t="shared" si="2"/>
        <v>1760935.4570796459</v>
      </c>
      <c r="L9" s="534">
        <f>VLOOKUP(A9,'2425 Band Calculations'!$A$104:$T$120,19,FALSE)</f>
        <v>115.58333333333334</v>
      </c>
      <c r="M9" s="65">
        <f>VLOOKUP(A9,'2425 Band Calculations'!$A$102:$AN$120,40,(FALSE))</f>
        <v>79807.734513274336</v>
      </c>
      <c r="N9" s="81">
        <f>L9-(L9*(VLOOKUP(A9,'2425 Band Calculations'!$A$6:$J$22,10,(FALSE))))</f>
        <v>112.51474926253688</v>
      </c>
      <c r="O9" s="65">
        <f t="shared" si="3"/>
        <v>9287.972727272725</v>
      </c>
      <c r="P9" s="524">
        <f>'2425 MFG Protection'!L65</f>
        <v>0</v>
      </c>
      <c r="Q9" s="524">
        <f>K9+P9</f>
        <v>1760935.4570796459</v>
      </c>
      <c r="R9" s="65">
        <f>L9*10000</f>
        <v>1155833.3333333335</v>
      </c>
      <c r="S9" s="65">
        <f>IF(R9&gt;Q9,(R9-Q9),(0))</f>
        <v>0</v>
      </c>
      <c r="T9" s="72">
        <f>Q9/L9</f>
        <v>15235.202224193043</v>
      </c>
      <c r="U9" s="72">
        <f>L9*10000</f>
        <v>1155833.3333333335</v>
      </c>
      <c r="V9" s="72"/>
      <c r="W9" s="72"/>
      <c r="X9" s="72">
        <f>T9-10000</f>
        <v>5235.2022241930426</v>
      </c>
      <c r="Y9" s="75">
        <f>Q9-U9</f>
        <v>605102.12374631246</v>
      </c>
      <c r="Z9" s="75">
        <f>U9+Y9</f>
        <v>1760935.4570796459</v>
      </c>
      <c r="AA9" s="75">
        <f>Q9-Z9</f>
        <v>0</v>
      </c>
      <c r="AB9" s="15"/>
      <c r="AC9" s="65"/>
      <c r="AD9" s="65"/>
      <c r="AE9" s="65"/>
      <c r="AF9" s="535"/>
      <c r="AG9" s="15"/>
    </row>
    <row r="10" spans="1:34" x14ac:dyDescent="0.25">
      <c r="A10" s="74">
        <v>9257008</v>
      </c>
      <c r="B10" s="67" t="s">
        <v>126</v>
      </c>
      <c r="C10" s="536" t="str">
        <f>IF(H10&lt;'2425 School Size Ranges'!$E$4,'2425 School Size Ranges'!$D$4,IF(H10&lt;'2425 School Size Ranges'!$E$5,'2425 School Size Ranges'!$D$5,IF('2425 Funding Detail'!H10&lt;'2425 School Size Ranges'!$E$6,'2425 School Size Ranges'!$D$6,IF(H10&lt;'2425 School Size Ranges'!$E$7,'2425 School Size Ranges'!$D$7,IF(H10&lt;'2425 School Size Ranges'!$E$8,'2425 School Size Ranges'!$D$8,IF(H10&lt;'2425 School Size Ranges'!$E$9,'2425 School Size Ranges'!$D$9,IF(H10&lt;'2425 School Size Ranges'!$E$10,'2425 School Size Ranges'!$D$10,IF(H10&lt;'2425 School Size Ranges'!$E$11,'2425 School Size Ranges'!$D$11,IF(H10&lt;'2425 School Size Ranges'!$E$12,'2425 School Size Ranges'!$D$12,IF(H10&lt;'2425 School Size Ranges'!$E$13,'2425 School Size Ranges'!$D$13,IF(H10&lt;'2425 School Size Ranges'!$E$14,'2425 School Size Ranges'!$D$14)))))))))))</f>
        <v>School Size 4</v>
      </c>
      <c r="D10" s="75">
        <f>IF(H10&lt;'2425 School Size Ranges'!$E$4,'2425 School Size Ranges'!$H$4,IF(H10&lt;'2425 School Size Ranges'!$E$5,'2425 School Size Ranges'!$H$5,IF('2425 Funding Detail'!H10&lt;'2425 School Size Ranges'!$E$6,'2425 School Size Ranges'!$H$6,IF(H10&lt;'2425 School Size Ranges'!$E$7,'2425 School Size Ranges'!$H$7,IF(H10&lt;'2425 School Size Ranges'!$E$8,'2425 School Size Ranges'!$H$8,IF(H10&lt;'2425 School Size Ranges'!$E$9,'2425 School Size Ranges'!$H$9,IF(H10&lt;'2425 School Size Ranges'!$E$10,'2425 School Size Ranges'!$H$10,IF(H10&lt;'2425 School Size Ranges'!$E$11,'2425 School Size Ranges'!$H$11,IF(H10&lt;'2425 School Size Ranges'!$E$12,'2425 School Size Ranges'!$H$12,IF(H10&lt;'2425 School Size Ranges'!$E$13,'2425 School Size Ranges'!$H$13,IF(H10&lt;'2425 School Size Ranges'!$E$14,'2425 School Size Ranges'!$H$14)))))))))))</f>
        <v>424777</v>
      </c>
      <c r="E10" s="75">
        <f>IF(H10&lt;'2425 School Size Ranges'!$E$4,'2425 School Size Ranges'!$I$4,IF(H10&lt;'2425 School Size Ranges'!$E$5,'2425 School Size Ranges'!$I$5,IF('2425 Funding Detail'!H10&lt;'2425 School Size Ranges'!$E$6,'2425 School Size Ranges'!$I$6,IF(H10&lt;'2425 School Size Ranges'!$E$7,'2425 School Size Ranges'!$I$7,IF(H10&lt;'2425 School Size Ranges'!$E$8,'2425 School Size Ranges'!$I$8,IF(H10&lt;'2425 School Size Ranges'!$E$9,'2425 School Size Ranges'!$I$9,IF(H10&lt;'2425 School Size Ranges'!$E$10,'2425 School Size Ranges'!$I$10,IF(H10&lt;'2425 School Size Ranges'!$E$11,'2425 School Size Ranges'!$I$11,IF(H10&lt;'2425 School Size Ranges'!$E$12,'2425 School Size Ranges'!$I$12,IF(H10&lt;'2425 School Size Ranges'!$E$13,'2425 School Size Ranges'!$I$13,IF(H10&lt;'2425 School Size Ranges'!$E$14,'2425 School Size Ranges'!$I$14)))))))))))</f>
        <v>125672</v>
      </c>
      <c r="F10" s="69"/>
      <c r="G10" s="75"/>
      <c r="H10" s="77">
        <f>VLOOKUP(A10,'2425 Band Calculations'!$A$104:$T$120,10,FALSE)</f>
        <v>1029048</v>
      </c>
      <c r="I10" s="75">
        <f>VLOOKUP(A10,'2425 FSM Calculation'!$A$4:$D$20,4,FALSE)</f>
        <v>18137.399999999998</v>
      </c>
      <c r="J10" s="75">
        <f t="shared" si="0"/>
        <v>1597634.4</v>
      </c>
      <c r="K10" s="77">
        <f t="shared" si="2"/>
        <v>1597634.4</v>
      </c>
      <c r="L10" s="534">
        <f>VLOOKUP(A10,'2425 Band Calculations'!$A$104:$T$120,19,FALSE)</f>
        <v>101</v>
      </c>
      <c r="M10" s="65">
        <f>VLOOKUP(A10,'2425 Band Calculations'!$A$102:$AN$120,40,(FALSE))</f>
        <v>0</v>
      </c>
      <c r="N10" s="81">
        <f>L10-(L10*(VLOOKUP(A10,'2425 Band Calculations'!$A$6:$J$22,10,(FALSE))))</f>
        <v>101</v>
      </c>
      <c r="O10" s="65">
        <f t="shared" si="3"/>
        <v>10188.594059405941</v>
      </c>
      <c r="P10" s="524">
        <f>'2425 MFG Protection'!L74</f>
        <v>0</v>
      </c>
      <c r="Q10" s="524">
        <f t="shared" si="4"/>
        <v>1597634.4</v>
      </c>
      <c r="R10" s="65">
        <f t="shared" si="5"/>
        <v>1010000</v>
      </c>
      <c r="S10" s="65">
        <f t="shared" si="6"/>
        <v>0</v>
      </c>
      <c r="T10" s="72">
        <f t="shared" si="7"/>
        <v>15818.162376237622</v>
      </c>
      <c r="U10" s="72">
        <f t="shared" si="1"/>
        <v>1010000</v>
      </c>
      <c r="V10" s="72"/>
      <c r="W10" s="72"/>
      <c r="X10" s="72">
        <f t="shared" si="8"/>
        <v>5818.1623762376221</v>
      </c>
      <c r="Y10" s="75">
        <f t="shared" si="9"/>
        <v>587634.39999999991</v>
      </c>
      <c r="Z10" s="75">
        <f t="shared" si="10"/>
        <v>1597634.4</v>
      </c>
      <c r="AA10" s="75">
        <f t="shared" si="11"/>
        <v>0</v>
      </c>
      <c r="AB10" s="15"/>
      <c r="AC10" s="65"/>
      <c r="AD10" s="65"/>
      <c r="AE10" s="65"/>
      <c r="AF10" s="535"/>
      <c r="AG10" s="15"/>
    </row>
    <row r="11" spans="1:34" x14ac:dyDescent="0.25">
      <c r="A11" s="74">
        <v>9257034</v>
      </c>
      <c r="B11" s="67" t="s">
        <v>270</v>
      </c>
      <c r="C11" s="652" t="str">
        <f>IF(H11&lt;'2425 School Size Ranges'!$E$4,'2425 School Size Ranges'!$D$4,IF(H11&lt;'2425 School Size Ranges'!$E$5,'2425 School Size Ranges'!$D$5,IF('2425 Funding Detail'!H11&lt;'2425 School Size Ranges'!$E$6,'2425 School Size Ranges'!$D$6,IF(H11&lt;'2425 School Size Ranges'!$E$7,'2425 School Size Ranges'!$D$7,IF(H11&lt;'2425 School Size Ranges'!$E$8,'2425 School Size Ranges'!$D$8,IF(H11&lt;'2425 School Size Ranges'!$E$9,'2425 School Size Ranges'!$D$9,IF(H11&lt;'2425 School Size Ranges'!$E$10,'2425 School Size Ranges'!$D$10,IF(H11&lt;'2425 School Size Ranges'!$E$11,'2425 School Size Ranges'!$D$11,IF(H11&lt;'2425 School Size Ranges'!$E$12,'2425 School Size Ranges'!$D$12,IF(H11&lt;'2425 School Size Ranges'!$E$13,'2425 School Size Ranges'!$D$13,IF(H11&lt;'2425 School Size Ranges'!$E$14,'2425 School Size Ranges'!$D$14)))))))))))</f>
        <v>School Size 5</v>
      </c>
      <c r="D11" s="75">
        <f>IF(H11&lt;'2425 School Size Ranges'!$E$4,'2425 School Size Ranges'!$H$4,IF(H11&lt;'2425 School Size Ranges'!$E$5,'2425 School Size Ranges'!$H$5,IF('2425 Funding Detail'!H11&lt;'2425 School Size Ranges'!$E$6,'2425 School Size Ranges'!$H$6,IF(H11&lt;'2425 School Size Ranges'!$E$7,'2425 School Size Ranges'!$H$7,IF(H11&lt;'2425 School Size Ranges'!$E$8,'2425 School Size Ranges'!$H$8,IF(H11&lt;'2425 School Size Ranges'!$E$9,'2425 School Size Ranges'!$H$9,IF(H11&lt;'2425 School Size Ranges'!$E$10,'2425 School Size Ranges'!$H$10,IF(H11&lt;'2425 School Size Ranges'!$E$11,'2425 School Size Ranges'!$H$11,IF(H11&lt;'2425 School Size Ranges'!$E$12,'2425 School Size Ranges'!$H$12,IF(H11&lt;'2425 School Size Ranges'!$E$13,'2425 School Size Ranges'!$H$13,IF(H11&lt;'2425 School Size Ranges'!$E$14,'2425 School Size Ranges'!$H$14)))))))))))</f>
        <v>516137</v>
      </c>
      <c r="E11" s="75">
        <f>IF(H11&lt;'2425 School Size Ranges'!$E$4,'2425 School Size Ranges'!$I$4,IF(H11&lt;'2425 School Size Ranges'!$E$5,'2425 School Size Ranges'!$I$5,IF('2425 Funding Detail'!H11&lt;'2425 School Size Ranges'!$E$6,'2425 School Size Ranges'!$I$6,IF(H11&lt;'2425 School Size Ranges'!$E$7,'2425 School Size Ranges'!$I$7,IF(H11&lt;'2425 School Size Ranges'!$E$8,'2425 School Size Ranges'!$I$8,IF(H11&lt;'2425 School Size Ranges'!$E$9,'2425 School Size Ranges'!$I$9,IF(H11&lt;'2425 School Size Ranges'!$E$10,'2425 School Size Ranges'!$I$10,IF(H11&lt;'2425 School Size Ranges'!$E$11,'2425 School Size Ranges'!$I$11,IF(H11&lt;'2425 School Size Ranges'!$E$12,'2425 School Size Ranges'!$I$12,IF(H11&lt;'2425 School Size Ranges'!$E$13,'2425 School Size Ranges'!$I$13,IF(H11&lt;'2425 School Size Ranges'!$E$14,'2425 School Size Ranges'!$I$14)))))))))))</f>
        <v>137954</v>
      </c>
      <c r="F11" s="69"/>
      <c r="G11" s="75"/>
      <c r="H11" s="77">
        <f>VLOOKUP(A11,'2425 Band Calculations'!$A$104:$T$120,10,FALSE)</f>
        <v>1314614.5115384618</v>
      </c>
      <c r="I11" s="75">
        <f>VLOOKUP(A11,'2425 FSM Calculation'!$A$4:$D$20,4,FALSE)</f>
        <v>35294.400000000001</v>
      </c>
      <c r="J11" s="75">
        <f t="shared" si="0"/>
        <v>2003999.9115384617</v>
      </c>
      <c r="K11" s="77">
        <f t="shared" si="2"/>
        <v>2003999.9115384617</v>
      </c>
      <c r="L11" s="534">
        <f>VLOOKUP(A11,'2425 Band Calculations'!$A$104:$T$120,19,FALSE)</f>
        <v>137.41666666666669</v>
      </c>
      <c r="M11" s="65">
        <f>VLOOKUP(A11,'2425 Band Calculations'!$A$102:$AN$120,40,(FALSE))</f>
        <v>54983.579487179486</v>
      </c>
      <c r="N11" s="81">
        <f>L11-(L11*(VLOOKUP(A11,'2425 Band Calculations'!$A$6:$J$22,10,(FALSE))))</f>
        <v>135.30256410256413</v>
      </c>
      <c r="O11" s="65">
        <f t="shared" si="3"/>
        <v>9309.734375</v>
      </c>
      <c r="P11" s="524">
        <f>'2425 MFG Protection'!L83</f>
        <v>25596.094860370576</v>
      </c>
      <c r="Q11" s="524">
        <f>K11+P11</f>
        <v>2029596.0063988322</v>
      </c>
      <c r="R11" s="65">
        <f>L11*10000</f>
        <v>1374166.6666666667</v>
      </c>
      <c r="S11" s="65">
        <f>IF(R11&gt;Q11,(R11-Q11),(0))</f>
        <v>0</v>
      </c>
      <c r="T11" s="72">
        <f>Q11/L11</f>
        <v>14769.649531101262</v>
      </c>
      <c r="U11" s="72">
        <f>L11*10000</f>
        <v>1374166.6666666667</v>
      </c>
      <c r="V11" s="72"/>
      <c r="W11" s="72"/>
      <c r="X11" s="72">
        <f>T11-10000</f>
        <v>4769.6495311012623</v>
      </c>
      <c r="Y11" s="75">
        <f>Q11-U11</f>
        <v>655429.33973216545</v>
      </c>
      <c r="Z11" s="75">
        <f>U11+Y11</f>
        <v>2029596.0063988322</v>
      </c>
      <c r="AA11" s="75">
        <f>Q11-Z11</f>
        <v>0</v>
      </c>
      <c r="AB11" s="15"/>
      <c r="AC11" s="65"/>
      <c r="AD11" s="65"/>
      <c r="AE11" s="65"/>
      <c r="AF11" s="535"/>
      <c r="AG11" s="15"/>
    </row>
    <row r="12" spans="1:34" x14ac:dyDescent="0.25">
      <c r="A12" s="74">
        <v>9257002</v>
      </c>
      <c r="B12" s="67" t="s">
        <v>262</v>
      </c>
      <c r="C12" s="536" t="str">
        <f>IF(H12&lt;'2425 School Size Ranges'!$E$4,'2425 School Size Ranges'!$D$4,IF(H12&lt;'2425 School Size Ranges'!$E$5,'2425 School Size Ranges'!$D$5,IF('2425 Funding Detail'!H12&lt;'2425 School Size Ranges'!$E$6,'2425 School Size Ranges'!$D$6,IF(H12&lt;'2425 School Size Ranges'!$E$7,'2425 School Size Ranges'!$D$7,IF(H12&lt;'2425 School Size Ranges'!$E$8,'2425 School Size Ranges'!$D$8,IF(H12&lt;'2425 School Size Ranges'!$E$9,'2425 School Size Ranges'!$D$9,IF(H12&lt;'2425 School Size Ranges'!$E$10,'2425 School Size Ranges'!$D$10,IF(H12&lt;'2425 School Size Ranges'!$E$11,'2425 School Size Ranges'!$D$11,IF(H12&lt;'2425 School Size Ranges'!$E$12,'2425 School Size Ranges'!$D$12,IF(H12&lt;'2425 School Size Ranges'!$E$13,'2425 School Size Ranges'!$D$13,IF(H12&lt;'2425 School Size Ranges'!$E$14,'2425 School Size Ranges'!$D$14)))))))))))</f>
        <v>School Size 5 Transition Point</v>
      </c>
      <c r="D12" s="75">
        <f>IF(H12&lt;'2425 School Size Ranges'!$E$4,'2425 School Size Ranges'!$H$4,IF(H12&lt;'2425 School Size Ranges'!$E$5,'2425 School Size Ranges'!$H$5,IF('2425 Funding Detail'!H12&lt;'2425 School Size Ranges'!$E$6,'2425 School Size Ranges'!$H$6,IF(H12&lt;'2425 School Size Ranges'!$E$7,'2425 School Size Ranges'!$H$7,IF(H12&lt;'2425 School Size Ranges'!$E$8,'2425 School Size Ranges'!$H$8,IF(H12&lt;'2425 School Size Ranges'!$E$9,'2425 School Size Ranges'!$H$9,IF(H12&lt;'2425 School Size Ranges'!$E$10,'2425 School Size Ranges'!$H$10,IF(H12&lt;'2425 School Size Ranges'!$E$11,'2425 School Size Ranges'!$H$11,IF(H12&lt;'2425 School Size Ranges'!$E$12,'2425 School Size Ranges'!$H$12,IF(H12&lt;'2425 School Size Ranges'!$E$13,'2425 School Size Ranges'!$H$13,IF(H12&lt;'2425 School Size Ranges'!$E$14,'2425 School Size Ranges'!$H$14)))))))))))</f>
        <v>565224.5</v>
      </c>
      <c r="E12" s="75">
        <f>IF(H12&lt;'2425 School Size Ranges'!$E$4,'2425 School Size Ranges'!$I$4,IF(H12&lt;'2425 School Size Ranges'!$E$5,'2425 School Size Ranges'!$I$5,IF('2425 Funding Detail'!H12&lt;'2425 School Size Ranges'!$E$6,'2425 School Size Ranges'!$I$6,IF(H12&lt;'2425 School Size Ranges'!$E$7,'2425 School Size Ranges'!$I$7,IF(H12&lt;'2425 School Size Ranges'!$E$8,'2425 School Size Ranges'!$I$8,IF(H12&lt;'2425 School Size Ranges'!$E$9,'2425 School Size Ranges'!$I$9,IF(H12&lt;'2425 School Size Ranges'!$E$10,'2425 School Size Ranges'!$I$10,IF(H12&lt;'2425 School Size Ranges'!$E$11,'2425 School Size Ranges'!$I$11,IF(H12&lt;'2425 School Size Ranges'!$E$12,'2425 School Size Ranges'!$I$12,IF(H12&lt;'2425 School Size Ranges'!$E$13,'2425 School Size Ranges'!$I$13,IF(H12&lt;'2425 School Size Ranges'!$E$14,'2425 School Size Ranges'!$I$14)))))))))))</f>
        <v>149645.5</v>
      </c>
      <c r="F12" s="69"/>
      <c r="G12" s="75"/>
      <c r="H12" s="77">
        <f>VLOOKUP(A12,'2425 Band Calculations'!$A$104:$T$120,10,FALSE)</f>
        <v>1850881.971153846</v>
      </c>
      <c r="I12" s="75">
        <f>VLOOKUP(A12,'2425 FSM Calculation'!$A$4:$D$20,4,FALSE)</f>
        <v>22549.200000000001</v>
      </c>
      <c r="J12" s="75">
        <f t="shared" si="0"/>
        <v>2588301.1711538462</v>
      </c>
      <c r="K12" s="77">
        <f t="shared" si="2"/>
        <v>2588301.1711538462</v>
      </c>
      <c r="L12" s="534">
        <f>VLOOKUP(A12,'2425 Band Calculations'!$A$104:$T$120,19,FALSE)</f>
        <v>175.41666666666669</v>
      </c>
      <c r="M12" s="65">
        <f>VLOOKUP(A12,'2425 Band Calculations'!$A$102:$AN$120,40,(FALSE))</f>
        <v>58490.213675213679</v>
      </c>
      <c r="N12" s="81">
        <f>L12-(L12*(VLOOKUP(A12,'2425 Band Calculations'!$A$6:$J$22,10,(FALSE))))</f>
        <v>173.16773504273507</v>
      </c>
      <c r="O12" s="65">
        <f t="shared" si="3"/>
        <v>10350.610389610387</v>
      </c>
      <c r="P12" s="524">
        <f>'2425 MFG Protection'!L92</f>
        <v>0</v>
      </c>
      <c r="Q12" s="524">
        <f t="shared" si="4"/>
        <v>2588301.1711538462</v>
      </c>
      <c r="R12" s="65">
        <f t="shared" si="5"/>
        <v>1754166.6666666667</v>
      </c>
      <c r="S12" s="65">
        <f t="shared" si="6"/>
        <v>0</v>
      </c>
      <c r="T12" s="72">
        <f t="shared" si="7"/>
        <v>14755.161070710761</v>
      </c>
      <c r="U12" s="72">
        <f t="shared" si="1"/>
        <v>1754166.6666666667</v>
      </c>
      <c r="V12" s="72"/>
      <c r="W12" s="72"/>
      <c r="X12" s="72">
        <f t="shared" si="8"/>
        <v>4755.1610707107611</v>
      </c>
      <c r="Y12" s="75">
        <f t="shared" si="9"/>
        <v>834134.50448717945</v>
      </c>
      <c r="Z12" s="75">
        <f t="shared" si="10"/>
        <v>2588301.1711538462</v>
      </c>
      <c r="AA12" s="75">
        <f t="shared" si="11"/>
        <v>0</v>
      </c>
      <c r="AB12" s="15"/>
      <c r="AC12" s="65"/>
      <c r="AD12" s="65"/>
      <c r="AE12" s="65"/>
      <c r="AF12" s="535"/>
      <c r="AG12" s="15"/>
    </row>
    <row r="13" spans="1:34" x14ac:dyDescent="0.25">
      <c r="A13" s="74">
        <v>9257009</v>
      </c>
      <c r="B13" s="67" t="s">
        <v>334</v>
      </c>
      <c r="C13" s="536" t="str">
        <f>IF(H13&lt;'2425 School Size Ranges'!$E$4,'2425 School Size Ranges'!$D$4,IF(H13&lt;'2425 School Size Ranges'!$E$5,'2425 School Size Ranges'!$D$5,IF('2425 Funding Detail'!H13&lt;'2425 School Size Ranges'!$E$6,'2425 School Size Ranges'!$D$6,IF(H13&lt;'2425 School Size Ranges'!$E$7,'2425 School Size Ranges'!$D$7,IF(H13&lt;'2425 School Size Ranges'!$E$8,'2425 School Size Ranges'!$D$8,IF(H13&lt;'2425 School Size Ranges'!$E$9,'2425 School Size Ranges'!$D$9,IF(H13&lt;'2425 School Size Ranges'!$E$10,'2425 School Size Ranges'!$D$10,IF(H13&lt;'2425 School Size Ranges'!$E$11,'2425 School Size Ranges'!$D$11,IF(H13&lt;'2425 School Size Ranges'!$E$12,'2425 School Size Ranges'!$D$12,IF(H13&lt;'2425 School Size Ranges'!$E$13,'2425 School Size Ranges'!$D$13,IF(H13&lt;'2425 School Size Ranges'!$E$14,'2425 School Size Ranges'!$D$14)))))))))))</f>
        <v>School Size 6 Transition Point</v>
      </c>
      <c r="D13" s="75">
        <f>IF(H13&lt;'2425 School Size Ranges'!$E$4,'2425 School Size Ranges'!$H$4,IF(H13&lt;'2425 School Size Ranges'!$E$5,'2425 School Size Ranges'!$H$5,IF('2425 Funding Detail'!H13&lt;'2425 School Size Ranges'!$E$6,'2425 School Size Ranges'!$H$6,IF(H13&lt;'2425 School Size Ranges'!$E$7,'2425 School Size Ranges'!$H$7,IF(H13&lt;'2425 School Size Ranges'!$E$8,'2425 School Size Ranges'!$H$8,IF(H13&lt;'2425 School Size Ranges'!$E$9,'2425 School Size Ranges'!$H$9,IF(H13&lt;'2425 School Size Ranges'!$E$10,'2425 School Size Ranges'!$H$10,IF(H13&lt;'2425 School Size Ranges'!$E$11,'2425 School Size Ranges'!$H$11,IF(H13&lt;'2425 School Size Ranges'!$E$12,'2425 School Size Ranges'!$H$12,IF(H13&lt;'2425 School Size Ranges'!$E$13,'2425 School Size Ranges'!$H$13,IF(H13&lt;'2425 School Size Ranges'!$E$14,'2425 School Size Ranges'!$H$14)))))))))))</f>
        <v>666385</v>
      </c>
      <c r="E13" s="75">
        <f>IF(H13&lt;'2425 School Size Ranges'!$E$4,'2425 School Size Ranges'!$I$4,IF(H13&lt;'2425 School Size Ranges'!$E$5,'2425 School Size Ranges'!$I$5,IF('2425 Funding Detail'!H13&lt;'2425 School Size Ranges'!$E$6,'2425 School Size Ranges'!$I$6,IF(H13&lt;'2425 School Size Ranges'!$E$7,'2425 School Size Ranges'!$I$7,IF(H13&lt;'2425 School Size Ranges'!$E$8,'2425 School Size Ranges'!$I$8,IF(H13&lt;'2425 School Size Ranges'!$E$9,'2425 School Size Ranges'!$I$9,IF(H13&lt;'2425 School Size Ranges'!$E$10,'2425 School Size Ranges'!$I$10,IF(H13&lt;'2425 School Size Ranges'!$E$11,'2425 School Size Ranges'!$I$11,IF(H13&lt;'2425 School Size Ranges'!$E$12,'2425 School Size Ranges'!$I$12,IF(H13&lt;'2425 School Size Ranges'!$E$13,'2425 School Size Ranges'!$I$13,IF(H13&lt;'2425 School Size Ranges'!$E$14,'2425 School Size Ranges'!$I$14)))))))))))</f>
        <v>167447</v>
      </c>
      <c r="F13" s="69"/>
      <c r="G13" s="964">
        <f>SUM('2425 School Size Ranges'!H6,'2425 School Size Ranges'!I6,'2425 School Size Ranges'!H8,'2425 School Size Ranges'!I8)-D13-E13</f>
        <v>370708</v>
      </c>
      <c r="H13" s="77">
        <f>VLOOKUP(A13,'2425 Band Calculations'!$A$104:$T$120,10,FALSE)</f>
        <v>2379992.2388059706</v>
      </c>
      <c r="I13" s="75">
        <f>VLOOKUP(A13,'2425 FSM Calculation'!$A$4:$D$20,4,FALSE)</f>
        <v>51961.2</v>
      </c>
      <c r="J13" s="75">
        <f t="shared" si="0"/>
        <v>3636493.4388059708</v>
      </c>
      <c r="K13" s="77">
        <f>J13-F13-G13</f>
        <v>3265785.4388059708</v>
      </c>
      <c r="L13" s="534">
        <f>VLOOKUP(A13,'2425 Band Calculations'!$A$104:$T$120,19,FALSE)</f>
        <v>215</v>
      </c>
      <c r="M13" s="65">
        <f>VLOOKUP(A13,'2425 Band Calculations'!$A$102:$AN$120,40,(FALSE))</f>
        <v>333834.02985074627</v>
      </c>
      <c r="N13" s="81">
        <f>L13-(L13*(VLOOKUP(A13,'2425 Band Calculations'!$A$6:$J$22,10,(FALSE))))</f>
        <v>202.16417910447763</v>
      </c>
      <c r="O13" s="65">
        <f t="shared" si="3"/>
        <v>10121.269841269843</v>
      </c>
      <c r="P13" s="524">
        <f>'2425 MFG Protection'!L101</f>
        <v>25360.054754919554</v>
      </c>
      <c r="Q13" s="524">
        <f t="shared" si="4"/>
        <v>3291145.4935608902</v>
      </c>
      <c r="R13" s="65">
        <f t="shared" si="5"/>
        <v>2150000</v>
      </c>
      <c r="S13" s="65">
        <f t="shared" si="6"/>
        <v>0</v>
      </c>
      <c r="T13" s="72">
        <f t="shared" si="7"/>
        <v>15307.653458422745</v>
      </c>
      <c r="U13" s="72">
        <f t="shared" si="1"/>
        <v>2150000</v>
      </c>
      <c r="V13" s="72"/>
      <c r="W13" s="72"/>
      <c r="X13" s="72">
        <f t="shared" si="8"/>
        <v>5307.6534584227447</v>
      </c>
      <c r="Y13" s="75">
        <f t="shared" si="9"/>
        <v>1141145.4935608902</v>
      </c>
      <c r="Z13" s="75">
        <f t="shared" si="10"/>
        <v>3291145.4935608902</v>
      </c>
      <c r="AA13" s="75">
        <f t="shared" si="11"/>
        <v>0</v>
      </c>
      <c r="AB13" s="15"/>
      <c r="AC13" s="65"/>
      <c r="AD13" s="65"/>
      <c r="AE13" s="65"/>
      <c r="AF13" s="535"/>
      <c r="AG13" s="15"/>
    </row>
    <row r="14" spans="1:34" ht="13" x14ac:dyDescent="0.3">
      <c r="A14" s="74">
        <v>9257029</v>
      </c>
      <c r="B14" s="13" t="s">
        <v>278</v>
      </c>
      <c r="C14" s="652" t="str">
        <f>IF(H14&lt;'2425 School Size Ranges'!$E$4,'2425 School Size Ranges'!$D$4,IF(H14&lt;'2425 School Size Ranges'!$E$5,'2425 School Size Ranges'!$D$5,IF('2425 Funding Detail'!H14&lt;'2425 School Size Ranges'!$E$6,'2425 School Size Ranges'!$D$6,IF(H14&lt;'2425 School Size Ranges'!$E$7,'2425 School Size Ranges'!$D$7,IF(H14&lt;'2425 School Size Ranges'!$E$8,'2425 School Size Ranges'!$D$8,IF(H14&lt;'2425 School Size Ranges'!$E$9,'2425 School Size Ranges'!$D$9,IF(H14&lt;'2425 School Size Ranges'!$E$10,'2425 School Size Ranges'!$D$10,IF(H14&lt;'2425 School Size Ranges'!$E$11,'2425 School Size Ranges'!$D$11,IF(H14&lt;'2425 School Size Ranges'!$E$12,'2425 School Size Ranges'!$D$12,IF(H14&lt;'2425 School Size Ranges'!$E$13,'2425 School Size Ranges'!$D$13,IF(H14&lt;'2425 School Size Ranges'!$E$14,'2425 School Size Ranges'!$D$14)))))))))))</f>
        <v>School Size 5</v>
      </c>
      <c r="D14" s="75">
        <f>IF(H14&lt;'2425 School Size Ranges'!$E$4,'2425 School Size Ranges'!$J$4,IF(H14&lt;'2425 School Size Ranges'!$E$5,'2425 School Size Ranges'!$J$5,IF('2425 Funding Detail'!H14&lt;'2425 School Size Ranges'!$E$6,'2425 School Size Ranges'!$J$6,IF(H14&lt;'2425 School Size Ranges'!$E$7,'2425 School Size Ranges'!$J$7,IF(H14&lt;'2425 School Size Ranges'!$E$8,'2425 School Size Ranges'!$J$8,IF(H14&lt;'2425 School Size Ranges'!$E$9,'2425 School Size Ranges'!$J$9,IF(H14&lt;'2425 School Size Ranges'!$E$10,'2425 School Size Ranges'!$J$10,IF(H14&lt;'2425 School Size Ranges'!$E$11,'2425 School Size Ranges'!$J$11,IF(H14&lt;'2425 School Size Ranges'!$E$12,'2425 School Size Ranges'!$J$12,IF(H14&lt;'2425 School Size Ranges'!$E$13,'2425 School Size Ranges'!$J$13,IF(H14&lt;'2425 School Size Ranges'!$E$14,'2425 School Size Ranges'!$J$14)))))))))))</f>
        <v>434185</v>
      </c>
      <c r="E14" s="75">
        <f>IF(H14&lt;'2425 School Size Ranges'!$E$4,'2425 School Size Ranges'!$K$4,IF(H14&lt;'2425 School Size Ranges'!$E$5,'2425 School Size Ranges'!$K$5,IF('2425 Funding Detail'!H14&lt;'2425 School Size Ranges'!$E$6,'2425 School Size Ranges'!$K$6,IF(H14&lt;'2425 School Size Ranges'!$E$7,'2425 School Size Ranges'!$K$7,IF(H14&lt;'2425 School Size Ranges'!$E$8,'2425 School Size Ranges'!$K$8,IF(H14&lt;'2425 School Size Ranges'!$E$9,'2425 School Size Ranges'!$K$9,IF(H14&lt;'2425 School Size Ranges'!$E$10,'2425 School Size Ranges'!$K$10,IF(H14&lt;'2425 School Size Ranges'!$E$11,'2425 School Size Ranges'!$K$11,IF(H14&lt;'2425 School Size Ranges'!$E$12,'2425 School Size Ranges'!$K$12,IF(H14&lt;'2425 School Size Ranges'!$E$13,'2425 School Size Ranges'!$K$13,IF(H14&lt;'2425 School Size Ranges'!$E$14,'2425 School Size Ranges'!$K$14)))))))))))</f>
        <v>102930</v>
      </c>
      <c r="F14" s="928">
        <v>334087</v>
      </c>
      <c r="G14" s="75"/>
      <c r="H14" s="77">
        <f>VLOOKUP(A14,'2425 Band Calculations'!$A$104:$T$120,10,FALSE)</f>
        <v>1294826.25</v>
      </c>
      <c r="I14" s="75">
        <f>VLOOKUP(A14,'2425 FSM Calculation'!$A$4:$D$20,4,FALSE)</f>
        <v>18137.399999999998</v>
      </c>
      <c r="J14" s="75">
        <f t="shared" si="0"/>
        <v>2184165.65</v>
      </c>
      <c r="K14" s="77">
        <f t="shared" si="2"/>
        <v>1850078.65</v>
      </c>
      <c r="L14" s="534">
        <f>VLOOKUP(A14,'2425 Band Calculations'!$A$104:$T$120,19,FALSE)</f>
        <v>80.75</v>
      </c>
      <c r="M14" s="65">
        <f>VLOOKUP(A14,'2425 Band Calculations'!$A$102:$AN$120,40,(FALSE))</f>
        <v>0</v>
      </c>
      <c r="N14" s="81">
        <f>L14-(L14*(VLOOKUP(A14,'2425 Band Calculations'!$A$6:$J$22,10,(FALSE))))</f>
        <v>80.75</v>
      </c>
      <c r="O14" s="65">
        <f t="shared" si="3"/>
        <v>16035</v>
      </c>
      <c r="P14" s="524">
        <f>'2425 MFG Protection'!L110</f>
        <v>0</v>
      </c>
      <c r="Q14" s="524">
        <f>K14+P14</f>
        <v>1850078.65</v>
      </c>
      <c r="R14" s="65">
        <f>L14*10000</f>
        <v>807500</v>
      </c>
      <c r="S14" s="65">
        <f>IF(R14&gt;Q14,(R14-Q14),(0))</f>
        <v>0</v>
      </c>
      <c r="T14" s="72">
        <f>Q14/L14</f>
        <v>22911.190712074302</v>
      </c>
      <c r="U14" s="72">
        <f>L14*10000</f>
        <v>807500</v>
      </c>
      <c r="V14" s="72"/>
      <c r="W14" s="72"/>
      <c r="X14" s="72">
        <f>T14-10000</f>
        <v>12911.190712074302</v>
      </c>
      <c r="Y14" s="75">
        <f>Q14-U14</f>
        <v>1042578.6499999999</v>
      </c>
      <c r="Z14" s="75">
        <f>U14+Y14</f>
        <v>1850078.65</v>
      </c>
      <c r="AA14" s="75">
        <f>Q14-Z14</f>
        <v>0</v>
      </c>
      <c r="AB14" s="15"/>
      <c r="AC14" s="65"/>
      <c r="AD14" s="65"/>
      <c r="AE14" s="65"/>
      <c r="AF14" s="535"/>
      <c r="AG14" s="15"/>
    </row>
    <row r="15" spans="1:34" ht="13" x14ac:dyDescent="0.3">
      <c r="A15" s="74">
        <v>9257032</v>
      </c>
      <c r="B15" s="13" t="s">
        <v>266</v>
      </c>
      <c r="C15" s="536" t="str">
        <f>IF(H15/L15*72&lt;'2425 School Size Ranges'!$E$4,'2425 School Size Ranges'!$D$4,IF(H15/L15*78&lt;'2425 School Size Ranges'!$E$5,'2425 School Size Ranges'!$D$5,IF(H15/L15*72&lt;'2425 School Size Ranges'!$E$6,'2425 School Size Ranges'!$D$6,IF(H15/L15*72&lt;'2425 School Size Ranges'!$E$7,'2425 School Size Ranges'!$D$7,IF(H15/L15*72&lt;'2425 School Size Ranges'!$E$8,'2425 School Size Ranges'!$D$8,IF(H15/L15*72&lt;'2425 School Size Ranges'!$E$9,'2425 School Size Ranges'!$D$9,IF(H15/L15*72&lt;'2425 School Size Ranges'!$E$10,'2425 School Size Ranges'!$D$10,IF(H15/L15*72&lt;'2425 School Size Ranges'!$E$11,'2425 School Size Ranges'!$D$11,IF(H15/L15*72&lt;'2425 School Size Ranges'!$E$12,'2425 School Size Ranges'!$D$12,IF(H15/L15*72&lt;'2425 School Size Ranges'!$E$13,'2425 School Size Ranges'!$D$13,IF(H15/L15*72&lt;'2425 School Size Ranges'!$E$14,'2425 School Size Ranges'!$D$14)))))))))))</f>
        <v>School Size 4 Transition Point</v>
      </c>
      <c r="D15" s="75">
        <f>IF(H15/L15*72&lt;'2425 School Size Ranges'!$E$4,'2425 School Size Ranges'!$J$4,IF(H15/L15*78&lt;'2425 School Size Ranges'!$E$5,'2425 School Size Ranges'!$J$5,IF(H15/L15*72&lt;'2425 School Size Ranges'!$E$6,'2425 School Size Ranges'!$J$6,IF(H15/L15*72&lt;'2425 School Size Ranges'!$E$7,'2425 School Size Ranges'!$J$7,IF(H15/L15*72&lt;'2425 School Size Ranges'!$E$8,'2425 School Size Ranges'!$J$8,IF(H15/L15*72&lt;'2425 School Size Ranges'!$E$9,'2425 School Size Ranges'!$J$9,IF(H15/L15*72&lt;'2425 School Size Ranges'!$E$10,'2425 School Size Ranges'!$J$10,IF(H15/L15*72&lt;'2425 School Size Ranges'!$E$11,'2425 School Size Ranges'!$J$11,IF(H15/L15*72&lt;'2425 School Size Ranges'!$E$12,'2425 School Size Ranges'!$J$12,IF(H15/L15*72&lt;'2425 School Size Ranges'!$E$13,'2425 School Size Ranges'!$J$13,IF(H15/L15*72&lt;'2425 School Size Ranges'!$E$14,'2425 School Size Ranges'!$J$14)))))))))))</f>
        <v>399637</v>
      </c>
      <c r="E15" s="75">
        <f>IF(H15/L15*72&lt;'2425 School Size Ranges'!$E$4,'2425 School Size Ranges'!$K$4,IF(H15/L15*78&lt;'2425 School Size Ranges'!$E$5,'2425 School Size Ranges'!$K$5,IF(H15/L15*72&lt;'2425 School Size Ranges'!$E$6,'2425 School Size Ranges'!$K$6,IF(H15/L15*72&lt;'2425 School Size Ranges'!$E$7,'2425 School Size Ranges'!$K$7,IF(H15/L15*72&lt;'2425 School Size Ranges'!$E$8,'2425 School Size Ranges'!$K$8,IF(H15/L15*72&lt;'2425 School Size Ranges'!$E$9,'2425 School Size Ranges'!$K$9,IF(H15/L15*72&lt;'2425 School Size Ranges'!$E$10,'2425 School Size Ranges'!$K$10,IF(H15/L15*72&lt;'2425 School Size Ranges'!$E$11,'2425 School Size Ranges'!$K$11,IF(H15/L15*72&lt;'2425 School Size Ranges'!$E$12,'2425 School Size Ranges'!$K$12,IF(H15/L15*72&lt;'2425 School Size Ranges'!$E$13,'2425 School Size Ranges'!$K$13,IF(H15/L15*72&lt;'2425 School Size Ranges'!$E$14,'2425 School Size Ranges'!$K$14)))))))))))</f>
        <v>102930</v>
      </c>
      <c r="F15" s="928">
        <v>296564</v>
      </c>
      <c r="G15" s="964">
        <f>(157287+35349)</f>
        <v>192636</v>
      </c>
      <c r="H15" s="77">
        <f>VLOOKUP(A15,'2425 Band Calculations'!$A$104:$T$120,10,FALSE)</f>
        <v>1844025</v>
      </c>
      <c r="I15" s="75">
        <f>VLOOKUP(A15,'2425 FSM Calculation'!$A$4:$D$20,4,FALSE)</f>
        <v>23529.599999999999</v>
      </c>
      <c r="J15" s="75">
        <f t="shared" si="0"/>
        <v>2859321.6</v>
      </c>
      <c r="K15" s="77">
        <f t="shared" si="2"/>
        <v>2370121.6</v>
      </c>
      <c r="L15" s="534">
        <f>VLOOKUP(A15,'2425 Band Calculations'!$A$104:$T$120,19,FALSE)</f>
        <v>115.00000000000001</v>
      </c>
      <c r="M15" s="65">
        <f>VLOOKUP(A15,'2425 Band Calculations'!$A$102:$AN$120,40,(FALSE))</f>
        <v>0</v>
      </c>
      <c r="N15" s="81">
        <f>L15-(L15*(VLOOKUP(A15,'2425 Band Calculations'!$A$6:$J$22,10,(FALSE))))</f>
        <v>115.00000000000001</v>
      </c>
      <c r="O15" s="65">
        <f t="shared" si="3"/>
        <v>16034.999999999998</v>
      </c>
      <c r="P15" s="524">
        <f>'2425 MFG Protection'!L119</f>
        <v>0</v>
      </c>
      <c r="Q15" s="524">
        <f>K15+P15</f>
        <v>2370121.6</v>
      </c>
      <c r="R15" s="65">
        <f>L15*10000</f>
        <v>1150000.0000000002</v>
      </c>
      <c r="S15" s="65">
        <f>IF(R15&gt;Q15,(R15-Q15),(0))</f>
        <v>0</v>
      </c>
      <c r="T15" s="72">
        <f>Q15/L15</f>
        <v>20609.75304347826</v>
      </c>
      <c r="U15" s="72">
        <f>L15*10000</f>
        <v>1150000.0000000002</v>
      </c>
      <c r="V15" s="72"/>
      <c r="W15" s="72"/>
      <c r="X15" s="72">
        <f>T15-10000</f>
        <v>10609.75304347826</v>
      </c>
      <c r="Y15" s="75">
        <f>Q15-U15</f>
        <v>1220121.5999999999</v>
      </c>
      <c r="Z15" s="75">
        <f>U15+Y15</f>
        <v>2370121.6</v>
      </c>
      <c r="AA15" s="75">
        <f>Q15-Z15</f>
        <v>0</v>
      </c>
      <c r="AB15" s="15"/>
      <c r="AC15" s="65"/>
      <c r="AD15" s="65"/>
      <c r="AE15" s="65"/>
      <c r="AF15" s="535"/>
      <c r="AG15" s="15"/>
    </row>
    <row r="16" spans="1:34" ht="13" x14ac:dyDescent="0.3">
      <c r="A16" s="74">
        <v>9257030</v>
      </c>
      <c r="B16" s="13" t="s">
        <v>268</v>
      </c>
      <c r="C16" s="536" t="str">
        <f>IF(H16&lt;'2425 School Size Ranges'!$E$4,'2425 School Size Ranges'!$D$4,IF(H16&lt;'2425 School Size Ranges'!$E$5,'2425 School Size Ranges'!$D$5,IF('2425 Funding Detail'!H16&lt;'2425 School Size Ranges'!$E$6,'2425 School Size Ranges'!$D$6,IF(H16&lt;'2425 School Size Ranges'!$E$7,'2425 School Size Ranges'!$D$7,IF(H16&lt;'2425 School Size Ranges'!$E$8,'2425 School Size Ranges'!$D$8,IF(H16&lt;'2425 School Size Ranges'!$E$9,'2425 School Size Ranges'!$D$9,IF(H16&lt;'2425 School Size Ranges'!$E$10,'2425 School Size Ranges'!$D$10,IF(H16&lt;'2425 School Size Ranges'!$E$11,'2425 School Size Ranges'!$D$11,IF(H16&lt;'2425 School Size Ranges'!$E$12,'2425 School Size Ranges'!$D$12,IF(H16&lt;'2425 School Size Ranges'!$E$13,'2425 School Size Ranges'!$D$13,IF(H16&lt;'2425 School Size Ranges'!$E$14,'2425 School Size Ranges'!$D$14)))))))))))</f>
        <v>School Size 4 Transition Point</v>
      </c>
      <c r="D16" s="75">
        <f>IF(H16&lt;'2425 School Size Ranges'!$E$4,'2425 School Size Ranges'!$J$4,IF(H16&lt;'2425 School Size Ranges'!$E$5,'2425 School Size Ranges'!$J$5,IF('2425 Funding Detail'!H16&lt;'2425 School Size Ranges'!$E$6,'2425 School Size Ranges'!$J$6,IF(H16&lt;'2425 School Size Ranges'!$E$7,'2425 School Size Ranges'!$J$7,IF(H16&lt;'2425 School Size Ranges'!$E$8,'2425 School Size Ranges'!$J$8,IF(H16&lt;'2425 School Size Ranges'!$E$9,'2425 School Size Ranges'!$J$9,IF(H16&lt;'2425 School Size Ranges'!$E$10,'2425 School Size Ranges'!$J$10,IF(H16&lt;'2425 School Size Ranges'!$E$11,'2425 School Size Ranges'!$J$11,IF(H16&lt;'2425 School Size Ranges'!$E$12,'2425 School Size Ranges'!$J$12,IF(H16&lt;'2425 School Size Ranges'!$E$13,'2425 School Size Ranges'!$J$13,IF(H16&lt;'2425 School Size Ranges'!$E$14,'2425 School Size Ranges'!$J$14)))))))))))</f>
        <v>399637</v>
      </c>
      <c r="E16" s="75">
        <f>IF(H16&lt;'2425 School Size Ranges'!$E$4,'2425 School Size Ranges'!$K$4,IF(H16&lt;'2425 School Size Ranges'!$E$5,'2425 School Size Ranges'!$K$5,IF('2425 Funding Detail'!H16&lt;'2425 School Size Ranges'!$E$6,'2425 School Size Ranges'!$K$6,IF(H16&lt;'2425 School Size Ranges'!$E$7,'2425 School Size Ranges'!$K$7,IF(H16&lt;'2425 School Size Ranges'!$E$8,'2425 School Size Ranges'!$K$8,IF(H16&lt;'2425 School Size Ranges'!$E$9,'2425 School Size Ranges'!$K$9,IF(H16&lt;'2425 School Size Ranges'!$E$10,'2425 School Size Ranges'!$K$10,IF(H16&lt;'2425 School Size Ranges'!$E$11,'2425 School Size Ranges'!$K$11,IF(H16&lt;'2425 School Size Ranges'!$E$12,'2425 School Size Ranges'!$K$12,IF(H16&lt;'2425 School Size Ranges'!$E$13,'2425 School Size Ranges'!$K$13,IF(H16&lt;'2425 School Size Ranges'!$E$14,'2425 School Size Ranges'!$K$14)))))))))))</f>
        <v>102930</v>
      </c>
      <c r="F16" s="928">
        <v>364143</v>
      </c>
      <c r="G16" s="75"/>
      <c r="H16" s="77">
        <f>VLOOKUP(A16,'2425 Band Calculations'!$A$104:$T$120,10,FALSE)</f>
        <v>1178572.5</v>
      </c>
      <c r="I16" s="75">
        <f>VLOOKUP(A16,'2425 FSM Calculation'!$A$4:$D$20,4,FALSE)</f>
        <v>20588.399999999998</v>
      </c>
      <c r="J16" s="75">
        <f t="shared" si="0"/>
        <v>2065870.9</v>
      </c>
      <c r="K16" s="77">
        <f t="shared" si="2"/>
        <v>1701727.9</v>
      </c>
      <c r="L16" s="534">
        <f>VLOOKUP(A16,'2425 Band Calculations'!$A$104:$T$120,19,FALSE)</f>
        <v>73.5</v>
      </c>
      <c r="M16" s="65">
        <f>VLOOKUP(A16,'2425 Band Calculations'!$A$102:$AN$120,40,(FALSE))</f>
        <v>0</v>
      </c>
      <c r="N16" s="81">
        <f>L16-(L16*(VLOOKUP(A16,'2425 Band Calculations'!$A$6:$J$22,10,(FALSE))))</f>
        <v>73.5</v>
      </c>
      <c r="O16" s="65">
        <f t="shared" si="3"/>
        <v>16035</v>
      </c>
      <c r="P16" s="524">
        <f>'2425 MFG Protection'!L128</f>
        <v>0</v>
      </c>
      <c r="Q16" s="524">
        <f>K16+P16</f>
        <v>1701727.9</v>
      </c>
      <c r="R16" s="65">
        <f>L16*10000</f>
        <v>735000</v>
      </c>
      <c r="S16" s="65">
        <f>IF(R16&gt;Q16,(R16-Q16),(0))</f>
        <v>0</v>
      </c>
      <c r="T16" s="72">
        <f>Q16/L16</f>
        <v>23152.760544217686</v>
      </c>
      <c r="U16" s="72">
        <f>L16*10000</f>
        <v>735000</v>
      </c>
      <c r="V16" s="72"/>
      <c r="W16" s="72"/>
      <c r="X16" s="72">
        <f>T16-10000</f>
        <v>13152.760544217686</v>
      </c>
      <c r="Y16" s="75">
        <f>Q16-U16</f>
        <v>966727.89999999991</v>
      </c>
      <c r="Z16" s="75">
        <f>U16+Y16</f>
        <v>1701727.9</v>
      </c>
      <c r="AA16" s="75">
        <f>Q16-Z16</f>
        <v>0</v>
      </c>
      <c r="AB16" s="15"/>
      <c r="AC16" s="65"/>
      <c r="AD16" s="65"/>
      <c r="AE16" s="65"/>
      <c r="AF16" s="535"/>
      <c r="AG16" s="15"/>
    </row>
    <row r="17" spans="1:33" x14ac:dyDescent="0.25">
      <c r="A17" s="74">
        <v>9257028</v>
      </c>
      <c r="B17" s="67" t="s">
        <v>70</v>
      </c>
      <c r="C17" s="652" t="str">
        <f>IF(H17&lt;'2425 School Size Ranges'!$E$4,'2425 School Size Ranges'!$D$4,IF(H17&lt;'2425 School Size Ranges'!$E$5,'2425 School Size Ranges'!$D$5,IF('2425 Funding Detail'!H17&lt;'2425 School Size Ranges'!$E$6,'2425 School Size Ranges'!$D$6,IF(H17&lt;'2425 School Size Ranges'!$E$7,'2425 School Size Ranges'!$D$7,IF(H17&lt;'2425 School Size Ranges'!$E$8,'2425 School Size Ranges'!$D$8,IF(H17&lt;'2425 School Size Ranges'!$E$9,'2425 School Size Ranges'!$D$9,IF(H17&lt;'2425 School Size Ranges'!$E$10,'2425 School Size Ranges'!$D$10,IF(H17&lt;'2425 School Size Ranges'!$E$11,'2425 School Size Ranges'!$D$11,IF(H17&lt;'2425 School Size Ranges'!$E$12,'2425 School Size Ranges'!$D$12,IF(H17&lt;'2425 School Size Ranges'!$E$13,'2425 School Size Ranges'!$D$13,IF(H17&lt;'2425 School Size Ranges'!$E$14,'2425 School Size Ranges'!$D$14)))))))))))</f>
        <v>School Size 6</v>
      </c>
      <c r="D17" s="75">
        <f>IF(H17&lt;'2425 School Size Ranges'!$E$4,'2425 School Size Ranges'!$H$4,IF(H17&lt;'2425 School Size Ranges'!$E$5,'2425 School Size Ranges'!$H$5,IF('2425 Funding Detail'!H17&lt;'2425 School Size Ranges'!$E$6,'2425 School Size Ranges'!$H$6,IF(H17&lt;'2425 School Size Ranges'!$E$7,'2425 School Size Ranges'!$H$7,IF(H17&lt;'2425 School Size Ranges'!$E$8,'2425 School Size Ranges'!$H$8,IF(H17&lt;'2425 School Size Ranges'!$E$9,'2425 School Size Ranges'!$H$9,IF(H17&lt;'2425 School Size Ranges'!$E$10,'2425 School Size Ranges'!$H$10,IF(H17&lt;'2425 School Size Ranges'!$E$11,'2425 School Size Ranges'!$H$11,IF(H17&lt;'2425 School Size Ranges'!$E$12,'2425 School Size Ranges'!$H$12,IF(H17&lt;'2425 School Size Ranges'!$E$13,'2425 School Size Ranges'!$H$13,IF(H17&lt;'2425 School Size Ranges'!$E$14,'2425 School Size Ranges'!$H$14)))))))))))</f>
        <v>614312</v>
      </c>
      <c r="E17" s="75">
        <f>IF(H17&lt;'2425 School Size Ranges'!$E$4,'2425 School Size Ranges'!$I$4,IF(H17&lt;'2425 School Size Ranges'!$E$5,'2425 School Size Ranges'!$I$5,IF('2425 Funding Detail'!H17&lt;'2425 School Size Ranges'!$E$6,'2425 School Size Ranges'!$I$6,IF(H17&lt;'2425 School Size Ranges'!$E$7,'2425 School Size Ranges'!$I$7,IF(H17&lt;'2425 School Size Ranges'!$E$8,'2425 School Size Ranges'!$I$8,IF(H17&lt;'2425 School Size Ranges'!$E$9,'2425 School Size Ranges'!$I$9,IF(H17&lt;'2425 School Size Ranges'!$E$10,'2425 School Size Ranges'!$I$10,IF(H17&lt;'2425 School Size Ranges'!$E$11,'2425 School Size Ranges'!$I$11,IF(H17&lt;'2425 School Size Ranges'!$E$12,'2425 School Size Ranges'!$I$12,IF(H17&lt;'2425 School Size Ranges'!$E$13,'2425 School Size Ranges'!$I$13,IF(H17&lt;'2425 School Size Ranges'!$E$14,'2425 School Size Ranges'!$I$14)))))))))))</f>
        <v>161337</v>
      </c>
      <c r="F17" s="75"/>
      <c r="G17" s="75"/>
      <c r="H17" s="77">
        <f>VLOOKUP(A17,'2425 Band Calculations'!$A$104:$T$120,10,FALSE)</f>
        <v>2067081.7771317831</v>
      </c>
      <c r="I17" s="75">
        <f>VLOOKUP(A17,'2425 FSM Calculation'!$A$4:$D$20,4,FALSE)</f>
        <v>30882.6</v>
      </c>
      <c r="J17" s="75">
        <f t="shared" si="0"/>
        <v>2873613.3771317829</v>
      </c>
      <c r="K17" s="77">
        <f t="shared" si="2"/>
        <v>2873613.3771317829</v>
      </c>
      <c r="L17" s="534">
        <f>VLOOKUP(A17,'2425 Band Calculations'!$A$104:$T$120,19,FALSE)</f>
        <v>143.91666666666666</v>
      </c>
      <c r="M17" s="65">
        <f>VLOOKUP(A17,'2425 Band Calculations'!$A$102:$AN$120,40,(FALSE))</f>
        <v>580307.70025839785</v>
      </c>
      <c r="N17" s="81">
        <f>L17-(L17*(VLOOKUP(A17,'2425 Band Calculations'!$A$6:$J$22,10,(FALSE))))</f>
        <v>121.60400516795865</v>
      </c>
      <c r="O17" s="65">
        <f t="shared" si="3"/>
        <v>12226.357798165142</v>
      </c>
      <c r="P17" s="524">
        <f>'2425 MFG Protection'!L137</f>
        <v>0</v>
      </c>
      <c r="Q17" s="524">
        <f t="shared" si="4"/>
        <v>2873613.3771317829</v>
      </c>
      <c r="R17" s="65">
        <f t="shared" si="5"/>
        <v>1439166.6666666665</v>
      </c>
      <c r="S17" s="65">
        <f t="shared" si="6"/>
        <v>0</v>
      </c>
      <c r="T17" s="72">
        <f t="shared" si="7"/>
        <v>19967.203546949273</v>
      </c>
      <c r="U17" s="72">
        <f t="shared" si="1"/>
        <v>1439166.6666666665</v>
      </c>
      <c r="V17" s="72"/>
      <c r="W17" s="72"/>
      <c r="X17" s="72">
        <f t="shared" si="8"/>
        <v>9967.203546949273</v>
      </c>
      <c r="Y17" s="75">
        <f t="shared" si="9"/>
        <v>1434446.7104651164</v>
      </c>
      <c r="Z17" s="75">
        <f t="shared" si="10"/>
        <v>2873613.3771317829</v>
      </c>
      <c r="AA17" s="75">
        <f t="shared" si="11"/>
        <v>0</v>
      </c>
      <c r="AB17" s="15"/>
      <c r="AC17" s="65"/>
      <c r="AD17" s="65"/>
      <c r="AE17" s="65"/>
      <c r="AF17" s="535"/>
      <c r="AG17" s="15"/>
    </row>
    <row r="18" spans="1:33" x14ac:dyDescent="0.25">
      <c r="A18" s="74">
        <v>9257021</v>
      </c>
      <c r="B18" s="67" t="s">
        <v>263</v>
      </c>
      <c r="C18" s="536" t="str">
        <f>IF(H18&lt;'2425 School Size Ranges'!$E$4,'2425 School Size Ranges'!$D$4,IF(H18&lt;'2425 School Size Ranges'!$E$5,'2425 School Size Ranges'!$D$5,IF('2425 Funding Detail'!H18&lt;'2425 School Size Ranges'!$E$6,'2425 School Size Ranges'!$D$6,IF(H18&lt;'2425 School Size Ranges'!$E$7,'2425 School Size Ranges'!$D$7,IF(H18&lt;'2425 School Size Ranges'!$E$8,'2425 School Size Ranges'!$D$8,IF(H18&lt;'2425 School Size Ranges'!$E$9,'2425 School Size Ranges'!$D$9,IF(H18&lt;'2425 School Size Ranges'!$E$10,'2425 School Size Ranges'!$D$10,IF(H18&lt;'2425 School Size Ranges'!$E$11,'2425 School Size Ranges'!$D$11,IF(H18&lt;'2425 School Size Ranges'!$E$12,'2425 School Size Ranges'!$D$12,IF(H18&lt;'2425 School Size Ranges'!$E$13,'2425 School Size Ranges'!$D$13,IF(H18&lt;'2425 School Size Ranges'!$E$14,'2425 School Size Ranges'!$D$14)))))))))))</f>
        <v>School Size 5 Transition Point</v>
      </c>
      <c r="D18" s="75">
        <f>IF(H18&lt;'2425 School Size Ranges'!$E$4,'2425 School Size Ranges'!$H$4,IF(H18&lt;'2425 School Size Ranges'!$E$5,'2425 School Size Ranges'!$H$5,IF('2425 Funding Detail'!H18&lt;'2425 School Size Ranges'!$E$6,'2425 School Size Ranges'!$H$6,IF(H18&lt;'2425 School Size Ranges'!$E$7,'2425 School Size Ranges'!$H$7,IF(H18&lt;'2425 School Size Ranges'!$E$8,'2425 School Size Ranges'!$H$8,IF(H18&lt;'2425 School Size Ranges'!$E$9,'2425 School Size Ranges'!$H$9,IF(H18&lt;'2425 School Size Ranges'!$E$10,'2425 School Size Ranges'!$H$10,IF(H18&lt;'2425 School Size Ranges'!$E$11,'2425 School Size Ranges'!$H$11,IF(H18&lt;'2425 School Size Ranges'!$E$12,'2425 School Size Ranges'!$H$12,IF(H18&lt;'2425 School Size Ranges'!$E$13,'2425 School Size Ranges'!$H$13,IF(H18&lt;'2425 School Size Ranges'!$E$14,'2425 School Size Ranges'!$H$14)))))))))))</f>
        <v>565224.5</v>
      </c>
      <c r="E18" s="75">
        <f>IF(H18&lt;'2425 School Size Ranges'!$E$4,'2425 School Size Ranges'!$I$4,IF(H18&lt;'2425 School Size Ranges'!$E$5,'2425 School Size Ranges'!$I$5,IF('2425 Funding Detail'!H18&lt;'2425 School Size Ranges'!$E$6,'2425 School Size Ranges'!$I$6,IF(H18&lt;'2425 School Size Ranges'!$E$7,'2425 School Size Ranges'!$I$7,IF(H18&lt;'2425 School Size Ranges'!$E$8,'2425 School Size Ranges'!$I$8,IF(H18&lt;'2425 School Size Ranges'!$E$9,'2425 School Size Ranges'!$I$9,IF(H18&lt;'2425 School Size Ranges'!$E$10,'2425 School Size Ranges'!$I$10,IF(H18&lt;'2425 School Size Ranges'!$E$11,'2425 School Size Ranges'!$I$11,IF(H18&lt;'2425 School Size Ranges'!$E$12,'2425 School Size Ranges'!$I$12,IF(H18&lt;'2425 School Size Ranges'!$E$13,'2425 School Size Ranges'!$I$13,IF(H18&lt;'2425 School Size Ranges'!$E$14,'2425 School Size Ranges'!$I$14)))))))))))</f>
        <v>149645.5</v>
      </c>
      <c r="F18" s="75"/>
      <c r="G18" s="75"/>
      <c r="H18" s="77">
        <f>VLOOKUP(A18,'2425 Band Calculations'!$A$104:$T$120,10,FALSE)</f>
        <v>1802805.0886015324</v>
      </c>
      <c r="I18" s="75">
        <f>VLOOKUP(A18,'2425 FSM Calculation'!$A$4:$D$20,4,FALSE)</f>
        <v>25490.399999999998</v>
      </c>
      <c r="J18" s="75">
        <f t="shared" si="0"/>
        <v>2543165.4886015323</v>
      </c>
      <c r="K18" s="77">
        <f t="shared" si="2"/>
        <v>2543165.4886015323</v>
      </c>
      <c r="L18" s="534">
        <f>VLOOKUP(A18,'2425 Band Calculations'!$A$104:$T$120,19,FALSE)</f>
        <v>179.58333333333334</v>
      </c>
      <c r="M18" s="65">
        <f>VLOOKUP(A18,'2425 Band Calculations'!$A$102:$AN$120,40,(FALSE))</f>
        <v>53685.095785440615</v>
      </c>
      <c r="N18" s="81">
        <f>L18-(L18*(VLOOKUP(A18,'2425 Band Calculations'!$A$6:$J$22,10,(FALSE))))</f>
        <v>177.51915708812263</v>
      </c>
      <c r="O18" s="65">
        <f t="shared" si="3"/>
        <v>9853.133720930231</v>
      </c>
      <c r="P18" s="524">
        <f>'2425 MFG Protection'!L146</f>
        <v>0</v>
      </c>
      <c r="Q18" s="524">
        <f t="shared" si="4"/>
        <v>2543165.4886015323</v>
      </c>
      <c r="R18" s="65">
        <f t="shared" si="5"/>
        <v>1795833.3333333335</v>
      </c>
      <c r="S18" s="65">
        <f t="shared" si="6"/>
        <v>0</v>
      </c>
      <c r="T18" s="72">
        <f t="shared" si="7"/>
        <v>14161.478358802035</v>
      </c>
      <c r="U18" s="72">
        <f t="shared" si="1"/>
        <v>1795833.3333333335</v>
      </c>
      <c r="V18" s="72"/>
      <c r="W18" s="72"/>
      <c r="X18" s="72">
        <f t="shared" si="8"/>
        <v>4161.4783588020346</v>
      </c>
      <c r="Y18" s="75">
        <f t="shared" si="9"/>
        <v>747332.15526819881</v>
      </c>
      <c r="Z18" s="75">
        <f t="shared" si="10"/>
        <v>2543165.4886015323</v>
      </c>
      <c r="AA18" s="75">
        <f t="shared" si="11"/>
        <v>0</v>
      </c>
      <c r="AB18" s="15"/>
      <c r="AC18" s="65"/>
      <c r="AD18" s="65"/>
      <c r="AE18" s="65"/>
      <c r="AF18" s="535"/>
      <c r="AG18" s="15"/>
    </row>
    <row r="19" spans="1:33" ht="12.75" customHeight="1" x14ac:dyDescent="0.25">
      <c r="A19" s="74">
        <v>9257015</v>
      </c>
      <c r="B19" s="67" t="s">
        <v>72</v>
      </c>
      <c r="C19" s="652" t="str">
        <f>IF(H19&lt;'2425 School Size Ranges'!$E$4,'2425 School Size Ranges'!$D$4,IF(H19&lt;'2425 School Size Ranges'!$E$5,'2425 School Size Ranges'!$D$5,IF('2425 Funding Detail'!H19&lt;'2425 School Size Ranges'!$E$6,'2425 School Size Ranges'!$D$6,IF(H19&lt;'2425 School Size Ranges'!$E$7,'2425 School Size Ranges'!$D$7,IF(H19&lt;'2425 School Size Ranges'!$E$8,'2425 School Size Ranges'!$D$8,IF(H19&lt;'2425 School Size Ranges'!$E$9,'2425 School Size Ranges'!$D$9,IF(H19&lt;'2425 School Size Ranges'!$E$10,'2425 School Size Ranges'!$D$10,IF(H19&lt;'2425 School Size Ranges'!$E$11,'2425 School Size Ranges'!$D$11,IF(H19&lt;'2425 School Size Ranges'!$E$12,'2425 School Size Ranges'!$D$12,IF(H19&lt;'2425 School Size Ranges'!$E$13,'2425 School Size Ranges'!$D$13,IF(H19&lt;'2425 School Size Ranges'!$E$14,'2425 School Size Ranges'!$D$14)))))))))))</f>
        <v>School Size 7 Transition Point</v>
      </c>
      <c r="D19" s="75">
        <f>IF(H19&lt;'2425 School Size Ranges'!$E$4,'2425 School Size Ranges'!$H$4,IF(H19&lt;'2425 School Size Ranges'!$E$5,'2425 School Size Ranges'!$H$5,IF('2425 Funding Detail'!H19&lt;'2425 School Size Ranges'!$E$6,'2425 School Size Ranges'!$H$6,IF(H19&lt;'2425 School Size Ranges'!$E$7,'2425 School Size Ranges'!$H$7,IF(H19&lt;'2425 School Size Ranges'!$E$8,'2425 School Size Ranges'!$H$8,IF(H19&lt;'2425 School Size Ranges'!$E$9,'2425 School Size Ranges'!$H$9,IF(H19&lt;'2425 School Size Ranges'!$E$10,'2425 School Size Ranges'!$H$10,IF(H19&lt;'2425 School Size Ranges'!$E$11,'2425 School Size Ranges'!$H$11,IF(H19&lt;'2425 School Size Ranges'!$E$12,'2425 School Size Ranges'!$H$12,IF(H19&lt;'2425 School Size Ranges'!$E$13,'2425 School Size Ranges'!$H$13,IF(H19&lt;'2425 School Size Ranges'!$E$14,'2425 School Size Ranges'!$H$14)))))))))))</f>
        <v>765070.5</v>
      </c>
      <c r="E19" s="75">
        <f>IF(H19&lt;'2425 School Size Ranges'!$E$4,'2425 School Size Ranges'!$I$4,IF(H19&lt;'2425 School Size Ranges'!$E$5,'2425 School Size Ranges'!$I$5,IF('2425 Funding Detail'!H19&lt;'2425 School Size Ranges'!$E$6,'2425 School Size Ranges'!$I$6,IF(H19&lt;'2425 School Size Ranges'!$E$7,'2425 School Size Ranges'!$I$7,IF(H19&lt;'2425 School Size Ranges'!$E$8,'2425 School Size Ranges'!$I$8,IF(H19&lt;'2425 School Size Ranges'!$E$9,'2425 School Size Ranges'!$I$9,IF(H19&lt;'2425 School Size Ranges'!$E$10,'2425 School Size Ranges'!$I$10,IF(H19&lt;'2425 School Size Ranges'!$E$11,'2425 School Size Ranges'!$I$11,IF(H19&lt;'2425 School Size Ranges'!$E$12,'2425 School Size Ranges'!$I$12,IF(H19&lt;'2425 School Size Ranges'!$E$13,'2425 School Size Ranges'!$I$13,IF(H19&lt;'2425 School Size Ranges'!$E$14,'2425 School Size Ranges'!$I$14)))))))))))</f>
        <v>179765.5</v>
      </c>
      <c r="F19" s="75"/>
      <c r="G19" s="964">
        <f>SUM('2425 School Size Ranges'!H8,'2425 School Size Ranges'!I8,'2425 School Size Ranges'!H10,'2425 School Size Ranges'!I10)-D19-E19</f>
        <v>484904</v>
      </c>
      <c r="H19" s="77">
        <f>VLOOKUP(A19,'2425 Band Calculations'!$A$104:$T$120,10,FALSE)</f>
        <v>3219661.881465517</v>
      </c>
      <c r="I19" s="75">
        <f>VLOOKUP(A19,'2425 FSM Calculation'!$A$4:$D$20,4,FALSE)</f>
        <v>53431.799999999996</v>
      </c>
      <c r="J19" s="75">
        <f t="shared" si="0"/>
        <v>4702833.6814655168</v>
      </c>
      <c r="K19" s="77">
        <f t="shared" si="2"/>
        <v>4217929.6814655168</v>
      </c>
      <c r="L19" s="534">
        <f>VLOOKUP(A19,'2425 Band Calculations'!$A$104:$T$120,19,FALSE)</f>
        <v>295.08333333333337</v>
      </c>
      <c r="M19" s="65">
        <f>VLOOKUP(A19,'2425 Band Calculations'!$A$102:$AN$120,40,(FALSE))</f>
        <v>198479.1551724138</v>
      </c>
      <c r="N19" s="81">
        <f>L19-(L19*(VLOOKUP(A19,'2425 Band Calculations'!$A$6:$J$22,10,(FALSE))))</f>
        <v>287.45186781609198</v>
      </c>
      <c r="O19" s="65">
        <f t="shared" si="3"/>
        <v>10510.221238938051</v>
      </c>
      <c r="P19" s="524">
        <f>'2425 MFG Protection'!L155</f>
        <v>0</v>
      </c>
      <c r="Q19" s="524">
        <f t="shared" si="4"/>
        <v>4217929.6814655168</v>
      </c>
      <c r="R19" s="65">
        <f t="shared" si="5"/>
        <v>2950833.3333333335</v>
      </c>
      <c r="S19" s="65">
        <f t="shared" si="6"/>
        <v>0</v>
      </c>
      <c r="T19" s="72">
        <f t="shared" si="7"/>
        <v>14294.028855573622</v>
      </c>
      <c r="U19" s="72">
        <f t="shared" si="1"/>
        <v>2950833.3333333335</v>
      </c>
      <c r="V19" s="72"/>
      <c r="W19" s="72"/>
      <c r="X19" s="72">
        <f t="shared" si="8"/>
        <v>4294.0288555736224</v>
      </c>
      <c r="Y19" s="75">
        <f t="shared" si="9"/>
        <v>1267096.3481321833</v>
      </c>
      <c r="Z19" s="75">
        <f t="shared" si="10"/>
        <v>4217929.6814655168</v>
      </c>
      <c r="AA19" s="75">
        <f t="shared" si="11"/>
        <v>0</v>
      </c>
      <c r="AB19" s="15"/>
      <c r="AC19" s="65"/>
      <c r="AD19" s="65"/>
      <c r="AE19" s="65"/>
      <c r="AF19" s="535"/>
      <c r="AG19" s="15"/>
    </row>
    <row r="20" spans="1:33" x14ac:dyDescent="0.25">
      <c r="A20" s="74">
        <v>9257016</v>
      </c>
      <c r="B20" s="67" t="s">
        <v>73</v>
      </c>
      <c r="C20" s="536" t="str">
        <f>IF(H20&lt;'2425 School Size Ranges'!$E$4,'2425 School Size Ranges'!$D$4,IF(H20&lt;'2425 School Size Ranges'!$E$5,'2425 School Size Ranges'!$D$5,IF('2425 Funding Detail'!H20&lt;'2425 School Size Ranges'!$E$6,'2425 School Size Ranges'!$D$6,IF(H20&lt;'2425 School Size Ranges'!$E$7,'2425 School Size Ranges'!$D$7,IF(H20&lt;'2425 School Size Ranges'!$E$8,'2425 School Size Ranges'!$D$8,IF(H20&lt;'2425 School Size Ranges'!$E$9,'2425 School Size Ranges'!$D$9,IF(H20&lt;'2425 School Size Ranges'!$E$10,'2425 School Size Ranges'!$D$10,IF(H20&lt;'2425 School Size Ranges'!$E$11,'2425 School Size Ranges'!$D$11,IF(H20&lt;'2425 School Size Ranges'!$E$12,'2425 School Size Ranges'!$D$12,IF(H20&lt;'2425 School Size Ranges'!$E$13,'2425 School Size Ranges'!$D$13,IF(H20&lt;'2425 School Size Ranges'!$E$14,'2425 School Size Ranges'!$D$14)))))))))))</f>
        <v>School Size 6 Transition Point</v>
      </c>
      <c r="D20" s="75">
        <f>IF(H20&lt;'2425 School Size Ranges'!$E$4,'2425 School Size Ranges'!$H$4,IF(H20&lt;'2425 School Size Ranges'!$E$5,'2425 School Size Ranges'!$H$5,IF('2425 Funding Detail'!H20&lt;'2425 School Size Ranges'!$E$6,'2425 School Size Ranges'!$H$6,IF(H20&lt;'2425 School Size Ranges'!$E$7,'2425 School Size Ranges'!$H$7,IF(H20&lt;'2425 School Size Ranges'!$E$8,'2425 School Size Ranges'!$H$8,IF(H20&lt;'2425 School Size Ranges'!$E$9,'2425 School Size Ranges'!$H$9,IF(H20&lt;'2425 School Size Ranges'!$E$10,'2425 School Size Ranges'!$H$10,IF(H20&lt;'2425 School Size Ranges'!$E$11,'2425 School Size Ranges'!$H$11,IF(H20&lt;'2425 School Size Ranges'!$E$12,'2425 School Size Ranges'!$H$12,IF(H20&lt;'2425 School Size Ranges'!$E$13,'2425 School Size Ranges'!$H$13,IF(H20&lt;'2425 School Size Ranges'!$E$14,'2425 School Size Ranges'!$H$14)))))))))))</f>
        <v>666385</v>
      </c>
      <c r="E20" s="75">
        <f>IF(H20&lt;'2425 School Size Ranges'!$E$4,'2425 School Size Ranges'!$I$4,IF(H20&lt;'2425 School Size Ranges'!$E$5,'2425 School Size Ranges'!$I$5,IF('2425 Funding Detail'!H20&lt;'2425 School Size Ranges'!$E$6,'2425 School Size Ranges'!$I$6,IF(H20&lt;'2425 School Size Ranges'!$E$7,'2425 School Size Ranges'!$I$7,IF(H20&lt;'2425 School Size Ranges'!$E$8,'2425 School Size Ranges'!$I$8,IF(H20&lt;'2425 School Size Ranges'!$E$9,'2425 School Size Ranges'!$I$9,IF(H20&lt;'2425 School Size Ranges'!$E$10,'2425 School Size Ranges'!$I$10,IF(H20&lt;'2425 School Size Ranges'!$E$11,'2425 School Size Ranges'!$I$11,IF(H20&lt;'2425 School Size Ranges'!$E$12,'2425 School Size Ranges'!$I$12,IF(H20&lt;'2425 School Size Ranges'!$E$13,'2425 School Size Ranges'!$I$13,IF(H20&lt;'2425 School Size Ranges'!$E$14,'2425 School Size Ranges'!$I$14)))))))))))</f>
        <v>167447</v>
      </c>
      <c r="F20" s="75"/>
      <c r="G20" s="75"/>
      <c r="H20" s="77">
        <f>VLOOKUP(A20,'2425 Band Calculations'!$A$104:$T$120,10,FALSE)</f>
        <v>2539182.983974359</v>
      </c>
      <c r="I20" s="75">
        <f>VLOOKUP(A20,'2425 FSM Calculation'!$A$4:$D$20,4,FALSE)</f>
        <v>25980.6</v>
      </c>
      <c r="J20" s="75">
        <f t="shared" si="0"/>
        <v>3398995.5839743591</v>
      </c>
      <c r="K20" s="77">
        <f t="shared" si="2"/>
        <v>3398995.5839743591</v>
      </c>
      <c r="L20" s="534">
        <f>VLOOKUP(A20,'2425 Band Calculations'!$A$104:$T$120,19,FALSE)</f>
        <v>164.5</v>
      </c>
      <c r="M20" s="65">
        <f>VLOOKUP(A20,'2425 Band Calculations'!$A$102:$AN$120,40,(FALSE))</f>
        <v>932453.48717948725</v>
      </c>
      <c r="N20" s="81">
        <f>L20-(L20*(VLOOKUP(A20,'2425 Band Calculations'!$A$6:$J$22,10,(FALSE))))</f>
        <v>128.64743589743591</v>
      </c>
      <c r="O20" s="65">
        <f t="shared" si="3"/>
        <v>12489.40163934426</v>
      </c>
      <c r="P20" s="524">
        <f>'2425 MFG Protection'!L164</f>
        <v>0</v>
      </c>
      <c r="Q20" s="524">
        <f>K20+P20</f>
        <v>3398995.5839743591</v>
      </c>
      <c r="R20" s="65">
        <f t="shared" si="5"/>
        <v>1645000</v>
      </c>
      <c r="S20" s="65">
        <f t="shared" si="6"/>
        <v>0</v>
      </c>
      <c r="T20" s="72">
        <f t="shared" si="7"/>
        <v>20662.587136622245</v>
      </c>
      <c r="U20" s="72">
        <f t="shared" si="1"/>
        <v>1645000</v>
      </c>
      <c r="V20" s="72"/>
      <c r="W20" s="72"/>
      <c r="X20" s="72">
        <f t="shared" si="8"/>
        <v>10662.587136622245</v>
      </c>
      <c r="Y20" s="75">
        <f t="shared" si="9"/>
        <v>1753995.5839743591</v>
      </c>
      <c r="Z20" s="75">
        <f t="shared" si="10"/>
        <v>3398995.5839743591</v>
      </c>
      <c r="AA20" s="75">
        <f t="shared" si="11"/>
        <v>0</v>
      </c>
      <c r="AB20" s="15"/>
      <c r="AC20" s="65"/>
      <c r="AD20" s="65"/>
      <c r="AE20" s="65"/>
      <c r="AF20" s="535"/>
      <c r="AG20" s="15"/>
    </row>
    <row r="21" spans="1:33" x14ac:dyDescent="0.25">
      <c r="A21" s="78"/>
      <c r="B21" s="15"/>
      <c r="C21" s="64"/>
      <c r="D21" s="65"/>
      <c r="E21" s="65"/>
      <c r="F21" s="65"/>
      <c r="G21" s="65"/>
      <c r="H21" s="65"/>
      <c r="I21" s="65"/>
      <c r="J21" s="64"/>
      <c r="K21" s="15"/>
      <c r="L21" s="64"/>
      <c r="M21" s="15"/>
      <c r="N21" s="15"/>
      <c r="O21" s="15"/>
      <c r="P21" s="15"/>
      <c r="Q21" s="15"/>
      <c r="R21" s="15"/>
      <c r="S21" s="15"/>
      <c r="T21" s="65"/>
      <c r="U21" s="64"/>
      <c r="V21" s="64"/>
      <c r="W21" s="64"/>
      <c r="X21" s="64"/>
      <c r="Y21" s="15"/>
      <c r="Z21" s="15"/>
      <c r="AA21" s="64"/>
      <c r="AB21" s="15"/>
      <c r="AC21" s="15"/>
      <c r="AD21" s="15"/>
      <c r="AE21" s="15"/>
      <c r="AF21" s="15"/>
      <c r="AG21" s="15"/>
    </row>
    <row r="22" spans="1:33" ht="13.5" customHeight="1" thickBot="1" x14ac:dyDescent="0.3">
      <c r="A22" s="78"/>
      <c r="B22" s="15"/>
      <c r="C22" s="15"/>
      <c r="D22" s="79">
        <f>SUM(D4:D20)</f>
        <v>8901619.5</v>
      </c>
      <c r="E22" s="79">
        <f t="shared" ref="E22:N22" si="12">SUM(E4:E20)</f>
        <v>2333081.5</v>
      </c>
      <c r="F22" s="79">
        <f t="shared" si="12"/>
        <v>1230985</v>
      </c>
      <c r="G22" s="79">
        <f t="shared" si="12"/>
        <v>1048248</v>
      </c>
      <c r="H22" s="79">
        <f t="shared" si="12"/>
        <v>28361357.234252129</v>
      </c>
      <c r="I22" s="79">
        <f t="shared" si="12"/>
        <v>455395.8</v>
      </c>
      <c r="J22" s="79">
        <f t="shared" si="12"/>
        <v>42330687.034252122</v>
      </c>
      <c r="K22" s="79">
        <f t="shared" si="12"/>
        <v>40051454.034252122</v>
      </c>
      <c r="L22" s="80">
        <f t="shared" si="12"/>
        <v>2310.0833333333335</v>
      </c>
      <c r="M22" s="79">
        <f t="shared" si="12"/>
        <v>3170538.4250678336</v>
      </c>
      <c r="N22" s="80">
        <f t="shared" si="12"/>
        <v>2188.1770573771728</v>
      </c>
      <c r="O22" s="80"/>
      <c r="P22" s="79">
        <f>SUM(P4:P20)</f>
        <v>60487.491487031773</v>
      </c>
      <c r="Q22" s="79">
        <f>SUM(Q4:Q20)</f>
        <v>40111941.525739156</v>
      </c>
      <c r="R22" s="79">
        <f>SUM(R4:R20)</f>
        <v>23100833.333333332</v>
      </c>
      <c r="S22" s="15"/>
      <c r="T22" s="65"/>
      <c r="U22" s="79">
        <f>SUM(U4:U20)</f>
        <v>23100833.333333332</v>
      </c>
      <c r="V22" s="79">
        <f>SUM(V4:V20)</f>
        <v>0</v>
      </c>
      <c r="W22" s="79">
        <f>SUM(W4:W20)</f>
        <v>0</v>
      </c>
      <c r="X22" s="65"/>
      <c r="Y22" s="79">
        <f>SUM(Y4:Y20)</f>
        <v>17011108.192405824</v>
      </c>
      <c r="Z22" s="79">
        <f>SUM(Z4:Z20)</f>
        <v>40111941.525739156</v>
      </c>
      <c r="AA22" s="64"/>
      <c r="AB22" s="15"/>
      <c r="AC22" s="15"/>
      <c r="AD22" s="15"/>
      <c r="AE22" s="15"/>
      <c r="AF22" s="15"/>
      <c r="AG22" s="15"/>
    </row>
    <row r="23" spans="1:33" ht="13" x14ac:dyDescent="0.3">
      <c r="A23" s="78"/>
      <c r="B23" s="15"/>
      <c r="C23" s="386"/>
      <c r="D23" s="385"/>
      <c r="E23" s="385"/>
      <c r="F23" s="385"/>
      <c r="G23" s="385"/>
      <c r="H23" s="385"/>
      <c r="I23" s="385"/>
      <c r="J23" s="385"/>
      <c r="K23" s="387"/>
      <c r="L23" s="387"/>
      <c r="M23" s="385"/>
      <c r="N23" s="388"/>
      <c r="O23" s="385"/>
      <c r="P23" s="385"/>
      <c r="Q23" s="385"/>
      <c r="R23" s="76"/>
      <c r="S23" s="15"/>
      <c r="T23" s="65"/>
      <c r="U23" s="65"/>
      <c r="V23" s="65"/>
      <c r="W23" s="65"/>
      <c r="X23" s="78"/>
      <c r="Y23" s="15"/>
      <c r="Z23" s="15"/>
      <c r="AA23" s="64"/>
      <c r="AB23" s="15"/>
      <c r="AC23" s="15"/>
      <c r="AD23" s="15"/>
      <c r="AE23" s="15"/>
      <c r="AF23" s="15"/>
      <c r="AG23" s="78"/>
    </row>
    <row r="24" spans="1:33" ht="13" x14ac:dyDescent="0.3">
      <c r="A24" s="15"/>
      <c r="B24" s="355" t="s">
        <v>893</v>
      </c>
      <c r="C24" s="64"/>
      <c r="D24" s="566">
        <f>D22-D45</f>
        <v>931680.3499999987</v>
      </c>
      <c r="E24" s="566">
        <f>E22-E45</f>
        <v>249597.5</v>
      </c>
      <c r="F24" s="574"/>
      <c r="G24" s="566">
        <f>G22-G45</f>
        <v>-36095.199999999953</v>
      </c>
      <c r="H24" s="566">
        <f>H22-H45</f>
        <v>2646226.46589531</v>
      </c>
      <c r="I24" s="566">
        <f t="shared" ref="I24:L24" si="13">I22-I45</f>
        <v>71797.20000000007</v>
      </c>
      <c r="J24" s="566">
        <f t="shared" si="13"/>
        <v>3911935.3158952966</v>
      </c>
      <c r="K24" s="566">
        <f t="shared" si="13"/>
        <v>3899301.5158952922</v>
      </c>
      <c r="L24" s="657">
        <f t="shared" si="13"/>
        <v>125.5</v>
      </c>
      <c r="M24" s="15"/>
      <c r="N24" s="361"/>
      <c r="O24" s="361"/>
      <c r="P24" s="691"/>
      <c r="Q24" s="15"/>
      <c r="R24" s="15"/>
      <c r="S24" s="15"/>
      <c r="T24" s="65"/>
      <c r="U24" s="64"/>
      <c r="V24" s="64"/>
      <c r="W24" s="64"/>
      <c r="X24" s="64"/>
      <c r="Y24" s="64"/>
      <c r="Z24" s="64" t="s">
        <v>336</v>
      </c>
      <c r="AA24" s="64"/>
      <c r="AB24" s="15"/>
      <c r="AC24" s="15"/>
      <c r="AD24" s="15"/>
      <c r="AE24" s="15"/>
      <c r="AF24" s="15"/>
      <c r="AG24" s="15"/>
    </row>
    <row r="25" spans="1:33" ht="13" x14ac:dyDescent="0.3">
      <c r="A25" s="15"/>
      <c r="B25" s="64"/>
      <c r="C25" s="15"/>
      <c r="D25" s="65"/>
      <c r="E25" s="375"/>
      <c r="F25" s="64"/>
      <c r="G25" s="64"/>
      <c r="H25" s="15"/>
      <c r="I25" s="15"/>
      <c r="J25" s="64"/>
      <c r="K25" s="15"/>
      <c r="L25" s="81"/>
      <c r="M25" s="15"/>
      <c r="N25" s="15"/>
      <c r="O25" s="15"/>
      <c r="P25" s="15"/>
      <c r="Q25" s="65"/>
      <c r="R25" s="385"/>
      <c r="S25" s="15"/>
      <c r="T25" s="65">
        <f>AVERAGE(T4:T20)</f>
        <v>18254.795414808708</v>
      </c>
      <c r="U25" s="64"/>
      <c r="V25" s="64"/>
      <c r="W25" s="64"/>
      <c r="X25" s="64"/>
      <c r="Y25" s="64"/>
      <c r="Z25" s="15"/>
      <c r="AA25" s="64"/>
      <c r="AB25" s="15"/>
      <c r="AC25" s="15"/>
      <c r="AD25" s="15"/>
      <c r="AE25" s="15"/>
      <c r="AF25" s="15"/>
      <c r="AG25" s="15"/>
    </row>
    <row r="26" spans="1:33" ht="50" x14ac:dyDescent="0.25">
      <c r="A26" s="66" t="s">
        <v>48</v>
      </c>
      <c r="B26" s="67" t="s">
        <v>49</v>
      </c>
      <c r="C26" s="71" t="s">
        <v>322</v>
      </c>
      <c r="D26" s="70" t="s">
        <v>13</v>
      </c>
      <c r="E26" s="70" t="s">
        <v>14</v>
      </c>
      <c r="F26" s="68" t="s">
        <v>43</v>
      </c>
      <c r="G26" s="68" t="s">
        <v>51</v>
      </c>
      <c r="H26" s="71" t="s">
        <v>52</v>
      </c>
      <c r="I26" s="68" t="s">
        <v>53</v>
      </c>
      <c r="J26" s="71" t="s">
        <v>54</v>
      </c>
      <c r="K26" s="821" t="s">
        <v>55</v>
      </c>
      <c r="L26" s="67" t="s">
        <v>338</v>
      </c>
      <c r="M26" s="76"/>
      <c r="N26" s="15"/>
      <c r="O26" s="65"/>
      <c r="P26" s="15"/>
      <c r="Q26" s="15"/>
      <c r="R26" s="65"/>
      <c r="S26" s="64"/>
      <c r="T26" s="64"/>
      <c r="U26" s="64"/>
      <c r="V26" s="64"/>
      <c r="W26" s="64"/>
      <c r="X26" s="15"/>
      <c r="Y26" s="64"/>
      <c r="Z26" s="15"/>
      <c r="AA26" s="15"/>
      <c r="AB26" s="15"/>
      <c r="AC26" s="15"/>
      <c r="AD26" s="15"/>
      <c r="AE26" s="15"/>
    </row>
    <row r="27" spans="1:33" x14ac:dyDescent="0.25">
      <c r="A27" s="74">
        <v>9257010</v>
      </c>
      <c r="B27" s="67" t="s">
        <v>333</v>
      </c>
      <c r="C27" s="536" t="s">
        <v>249</v>
      </c>
      <c r="D27" s="75">
        <v>522601.4</v>
      </c>
      <c r="E27" s="75">
        <v>137917</v>
      </c>
      <c r="F27" s="75"/>
      <c r="G27" s="75"/>
      <c r="H27" s="77">
        <v>1677940.8366890382</v>
      </c>
      <c r="I27" s="75">
        <v>23073.599999999999</v>
      </c>
      <c r="J27" s="77">
        <v>2361532.8366890382</v>
      </c>
      <c r="K27" s="822">
        <v>2361532.8366890382</v>
      </c>
      <c r="L27" s="824">
        <v>139.33333333333334</v>
      </c>
      <c r="M27" s="15"/>
      <c r="N27" s="15"/>
      <c r="O27" s="64"/>
      <c r="P27" s="15"/>
      <c r="Q27" s="15"/>
      <c r="R27" s="65"/>
      <c r="S27" s="64"/>
      <c r="T27" s="64"/>
      <c r="U27" s="64"/>
      <c r="V27" s="64"/>
      <c r="W27" s="15"/>
      <c r="X27" s="15"/>
      <c r="Y27" s="64"/>
      <c r="Z27" s="15"/>
      <c r="AA27" s="15"/>
      <c r="AB27" s="15"/>
      <c r="AC27" s="15"/>
      <c r="AD27" s="15"/>
      <c r="AE27" s="15"/>
    </row>
    <row r="28" spans="1:33" x14ac:dyDescent="0.25">
      <c r="A28" s="74">
        <v>9257005</v>
      </c>
      <c r="B28" s="67" t="s">
        <v>259</v>
      </c>
      <c r="C28" s="536" t="s">
        <v>246</v>
      </c>
      <c r="D28" s="75">
        <v>399454.60000000003</v>
      </c>
      <c r="E28" s="75">
        <v>116699</v>
      </c>
      <c r="F28" s="75"/>
      <c r="G28" s="75"/>
      <c r="H28" s="77">
        <v>1041177.809859155</v>
      </c>
      <c r="I28" s="75">
        <v>10575.4</v>
      </c>
      <c r="J28" s="77">
        <v>1567906.809859155</v>
      </c>
      <c r="K28" s="822">
        <v>1567906.809859155</v>
      </c>
      <c r="L28" s="824">
        <v>79.75</v>
      </c>
      <c r="M28" s="15"/>
      <c r="N28" s="15"/>
      <c r="O28" s="65"/>
      <c r="P28" s="15"/>
      <c r="Q28" s="15"/>
      <c r="R28" s="65"/>
      <c r="S28" s="64"/>
      <c r="T28" s="64"/>
      <c r="U28" s="64"/>
      <c r="V28" s="64"/>
      <c r="W28" s="15"/>
      <c r="X28" s="15"/>
      <c r="Y28" s="64"/>
      <c r="Z28" s="15"/>
      <c r="AA28" s="15"/>
      <c r="AB28" s="15"/>
      <c r="AC28" s="15"/>
      <c r="AD28" s="15"/>
      <c r="AE28" s="15"/>
    </row>
    <row r="29" spans="1:33" x14ac:dyDescent="0.25">
      <c r="A29" s="74">
        <v>9257025</v>
      </c>
      <c r="B29" s="67" t="s">
        <v>260</v>
      </c>
      <c r="C29" s="536" t="s">
        <v>246</v>
      </c>
      <c r="D29" s="75">
        <v>399454.60000000003</v>
      </c>
      <c r="E29" s="75">
        <v>116699</v>
      </c>
      <c r="F29" s="75"/>
      <c r="G29" s="75"/>
      <c r="H29" s="77">
        <v>1045732.2666666666</v>
      </c>
      <c r="I29" s="75">
        <v>19708.7</v>
      </c>
      <c r="J29" s="77">
        <v>1581594.5666666667</v>
      </c>
      <c r="K29" s="822">
        <v>1581594.5666666667</v>
      </c>
      <c r="L29" s="823">
        <v>96</v>
      </c>
      <c r="M29" s="828"/>
      <c r="N29" s="359"/>
      <c r="O29" s="65"/>
      <c r="P29" s="106"/>
      <c r="Q29" s="106"/>
      <c r="R29" s="106"/>
      <c r="S29" s="106"/>
      <c r="T29" s="106"/>
      <c r="U29" s="106"/>
      <c r="V29" s="106"/>
      <c r="W29" s="106"/>
      <c r="X29" s="106"/>
      <c r="Y29" s="106"/>
      <c r="Z29" s="15"/>
      <c r="AA29" s="15"/>
      <c r="AB29" s="15"/>
      <c r="AC29" s="15"/>
      <c r="AD29" s="15"/>
      <c r="AE29" s="15"/>
    </row>
    <row r="30" spans="1:33" x14ac:dyDescent="0.25">
      <c r="A30" s="74">
        <v>9257024</v>
      </c>
      <c r="B30" s="67" t="s">
        <v>261</v>
      </c>
      <c r="C30" s="536" t="s">
        <v>246</v>
      </c>
      <c r="D30" s="75">
        <v>399454.60000000003</v>
      </c>
      <c r="E30" s="75">
        <v>116699</v>
      </c>
      <c r="F30" s="75"/>
      <c r="G30" s="75"/>
      <c r="H30" s="77">
        <v>1063995.3088235294</v>
      </c>
      <c r="I30" s="75">
        <v>14421</v>
      </c>
      <c r="J30" s="77">
        <v>1594569.9088235295</v>
      </c>
      <c r="K30" s="822">
        <v>1594569.9088235295</v>
      </c>
      <c r="L30" s="824">
        <v>92.916666666666671</v>
      </c>
      <c r="M30" s="829"/>
      <c r="N30" s="359"/>
      <c r="O30" s="93"/>
      <c r="P30" s="15"/>
      <c r="Q30" s="15"/>
      <c r="R30" s="65"/>
      <c r="S30" s="64"/>
      <c r="T30" s="64"/>
      <c r="U30" s="64"/>
      <c r="V30" s="64"/>
      <c r="W30" s="15"/>
      <c r="X30" s="15"/>
      <c r="Y30" s="64"/>
      <c r="Z30" s="15"/>
      <c r="AA30" s="15"/>
      <c r="AB30" s="15"/>
      <c r="AC30" s="15"/>
      <c r="AD30" s="15"/>
      <c r="AE30" s="15"/>
    </row>
    <row r="31" spans="1:33" ht="13" x14ac:dyDescent="0.3">
      <c r="A31" s="74">
        <v>9257031</v>
      </c>
      <c r="B31" s="13" t="s">
        <v>169</v>
      </c>
      <c r="C31" s="536" t="s">
        <v>248</v>
      </c>
      <c r="D31" s="75">
        <v>413596.5</v>
      </c>
      <c r="E31" s="75">
        <v>91206.5</v>
      </c>
      <c r="F31" s="694">
        <v>226826</v>
      </c>
      <c r="G31" s="75"/>
      <c r="H31" s="77">
        <v>1254440.75</v>
      </c>
      <c r="I31" s="75">
        <v>21150.799999999999</v>
      </c>
      <c r="J31" s="77">
        <v>2007220.55</v>
      </c>
      <c r="K31" s="822">
        <v>1780394.55</v>
      </c>
      <c r="L31" s="824">
        <v>80.583333333333343</v>
      </c>
      <c r="M31" s="829"/>
      <c r="N31" s="359"/>
      <c r="O31" s="7"/>
      <c r="P31" s="15"/>
      <c r="Q31" s="15"/>
      <c r="R31" s="65"/>
      <c r="S31" s="64"/>
      <c r="T31" s="64"/>
      <c r="U31" s="64"/>
      <c r="V31" s="64"/>
      <c r="W31" s="15"/>
      <c r="X31" s="15"/>
      <c r="Y31" s="64"/>
      <c r="Z31" s="15"/>
      <c r="AA31" s="15"/>
      <c r="AB31" s="15"/>
      <c r="AC31" s="15"/>
      <c r="AD31" s="15"/>
      <c r="AE31" s="15"/>
    </row>
    <row r="32" spans="1:33" x14ac:dyDescent="0.25">
      <c r="A32" s="74">
        <v>9257033</v>
      </c>
      <c r="B32" s="67" t="s">
        <v>269</v>
      </c>
      <c r="C32" s="536" t="s">
        <v>246</v>
      </c>
      <c r="D32" s="75">
        <v>399454.60000000003</v>
      </c>
      <c r="E32" s="75">
        <v>116699</v>
      </c>
      <c r="F32" s="69"/>
      <c r="G32" s="75"/>
      <c r="H32" s="77">
        <v>1071210.3941441439</v>
      </c>
      <c r="I32" s="75">
        <v>30764.799999999999</v>
      </c>
      <c r="J32" s="77">
        <v>1618128.794144144</v>
      </c>
      <c r="K32" s="822">
        <v>1618128.794144144</v>
      </c>
      <c r="L32" s="824">
        <v>113.75000000000001</v>
      </c>
      <c r="M32" s="829"/>
      <c r="N32" s="104"/>
      <c r="O32" s="15"/>
      <c r="P32" s="15"/>
      <c r="Q32" s="15"/>
      <c r="R32" s="65"/>
      <c r="S32" s="64"/>
      <c r="T32" s="64"/>
      <c r="U32" s="64"/>
      <c r="V32" s="64"/>
      <c r="W32" s="15"/>
      <c r="X32" s="15"/>
      <c r="Y32" s="64"/>
      <c r="Z32" s="15"/>
      <c r="AA32" s="15"/>
      <c r="AB32" s="15"/>
      <c r="AC32" s="15"/>
      <c r="AD32" s="15"/>
      <c r="AE32" s="15"/>
    </row>
    <row r="33" spans="1:28" x14ac:dyDescent="0.25">
      <c r="A33" s="74">
        <v>9257008</v>
      </c>
      <c r="B33" s="67" t="s">
        <v>126</v>
      </c>
      <c r="C33" s="536" t="s">
        <v>246</v>
      </c>
      <c r="D33" s="75">
        <v>399454.60000000003</v>
      </c>
      <c r="E33" s="75">
        <v>116699</v>
      </c>
      <c r="F33" s="69"/>
      <c r="G33" s="75"/>
      <c r="H33" s="77">
        <v>958157.00000000012</v>
      </c>
      <c r="I33" s="75">
        <v>16824.5</v>
      </c>
      <c r="J33" s="77">
        <v>1491135.1</v>
      </c>
      <c r="K33" s="822">
        <v>1491135.1</v>
      </c>
      <c r="L33" s="824">
        <v>101</v>
      </c>
      <c r="M33" s="829"/>
      <c r="N33" s="359"/>
      <c r="O33" s="76"/>
      <c r="P33" s="15"/>
      <c r="Q33" s="15"/>
      <c r="R33" s="65"/>
      <c r="S33" s="64"/>
      <c r="T33" s="64"/>
      <c r="U33" s="64"/>
      <c r="V33" s="64"/>
      <c r="W33" s="15"/>
      <c r="X33" s="15"/>
      <c r="Y33" s="64"/>
      <c r="AB33" s="10"/>
    </row>
    <row r="34" spans="1:28" x14ac:dyDescent="0.25">
      <c r="A34" s="74">
        <v>9257034</v>
      </c>
      <c r="B34" s="67" t="s">
        <v>270</v>
      </c>
      <c r="C34" s="536" t="s">
        <v>247</v>
      </c>
      <c r="D34" s="75">
        <v>438718.2</v>
      </c>
      <c r="E34" s="75">
        <v>122003.5</v>
      </c>
      <c r="F34" s="69"/>
      <c r="G34" s="75"/>
      <c r="H34" s="77">
        <v>1183425.2849002851</v>
      </c>
      <c r="I34" s="75">
        <v>27399.899999999998</v>
      </c>
      <c r="J34" s="77">
        <v>1771546.8849002849</v>
      </c>
      <c r="K34" s="822">
        <v>1771546.8849002849</v>
      </c>
      <c r="L34" s="824">
        <v>128.33333333333334</v>
      </c>
      <c r="M34" s="829"/>
      <c r="N34" s="15"/>
      <c r="O34" s="15"/>
      <c r="P34" s="15"/>
      <c r="Q34" s="15"/>
      <c r="R34" s="65"/>
      <c r="S34" s="64"/>
      <c r="T34" s="64"/>
      <c r="U34" s="64"/>
      <c r="V34" s="64"/>
      <c r="W34" s="15"/>
      <c r="X34" s="15"/>
      <c r="Y34" s="64"/>
      <c r="AB34" s="10"/>
    </row>
    <row r="35" spans="1:28" x14ac:dyDescent="0.25">
      <c r="A35" s="74">
        <v>9257002</v>
      </c>
      <c r="B35" s="67" t="s">
        <v>262</v>
      </c>
      <c r="C35" s="536" t="s">
        <v>249</v>
      </c>
      <c r="D35" s="75">
        <v>522601.4</v>
      </c>
      <c r="E35" s="75">
        <v>137917</v>
      </c>
      <c r="F35" s="69"/>
      <c r="G35" s="75"/>
      <c r="H35" s="77">
        <v>1736627.100101626</v>
      </c>
      <c r="I35" s="75">
        <v>24996.399999999998</v>
      </c>
      <c r="J35" s="77">
        <v>2422141.9001016258</v>
      </c>
      <c r="K35" s="822">
        <v>2422141.9001016258</v>
      </c>
      <c r="L35" s="824">
        <v>168.91666666666669</v>
      </c>
      <c r="M35" s="829"/>
      <c r="N35" s="359"/>
      <c r="O35" s="65"/>
      <c r="P35" s="15"/>
      <c r="Q35" s="15"/>
      <c r="R35" s="15"/>
      <c r="S35" s="15"/>
      <c r="T35" s="15"/>
      <c r="U35" s="15"/>
      <c r="V35" s="15"/>
      <c r="W35" s="15"/>
      <c r="X35" s="15"/>
      <c r="Y35" s="15"/>
      <c r="AB35" s="10"/>
    </row>
    <row r="36" spans="1:28" x14ac:dyDescent="0.25">
      <c r="A36" s="74">
        <v>9257009</v>
      </c>
      <c r="B36" s="67" t="s">
        <v>334</v>
      </c>
      <c r="C36" s="536" t="s">
        <v>251</v>
      </c>
      <c r="D36" s="75">
        <v>615208.69999999995</v>
      </c>
      <c r="E36" s="75">
        <v>153830.5</v>
      </c>
      <c r="F36" s="69"/>
      <c r="G36" s="75">
        <v>352404.2</v>
      </c>
      <c r="H36" s="77">
        <v>2232439.1125211506</v>
      </c>
      <c r="I36" s="75">
        <v>23554.3</v>
      </c>
      <c r="J36" s="77">
        <v>3377436.8125211503</v>
      </c>
      <c r="K36" s="822">
        <v>3025032.6125211501</v>
      </c>
      <c r="L36" s="824">
        <v>207.83333333333337</v>
      </c>
      <c r="M36" s="15"/>
      <c r="N36" s="15"/>
      <c r="O36" s="15"/>
      <c r="P36" s="15"/>
      <c r="Q36" s="15"/>
      <c r="R36" s="15"/>
      <c r="S36" s="15"/>
      <c r="T36" s="15"/>
      <c r="U36" s="15"/>
      <c r="V36" s="15"/>
      <c r="W36" s="15"/>
      <c r="X36" s="15"/>
      <c r="Y36" s="15"/>
      <c r="AB36" s="10"/>
    </row>
    <row r="37" spans="1:28" ht="13" x14ac:dyDescent="0.3">
      <c r="A37" s="74">
        <v>9257029</v>
      </c>
      <c r="B37" s="13" t="s">
        <v>278</v>
      </c>
      <c r="C37" s="536" t="s">
        <v>247</v>
      </c>
      <c r="D37" s="75">
        <v>394773.25</v>
      </c>
      <c r="E37" s="75">
        <v>91206.5</v>
      </c>
      <c r="F37" s="694">
        <v>320869</v>
      </c>
      <c r="G37" s="75"/>
      <c r="H37" s="77">
        <v>1229793</v>
      </c>
      <c r="I37" s="75">
        <v>11536.8</v>
      </c>
      <c r="J37" s="77">
        <v>2048178.55</v>
      </c>
      <c r="K37" s="822">
        <v>1727309.55</v>
      </c>
      <c r="L37" s="824">
        <v>79</v>
      </c>
      <c r="M37" s="15"/>
      <c r="N37" s="15"/>
      <c r="O37" s="15"/>
      <c r="P37" s="15"/>
      <c r="Q37" s="15"/>
      <c r="R37" s="15"/>
      <c r="S37" s="15"/>
      <c r="T37" s="15"/>
      <c r="U37" s="15"/>
      <c r="V37" s="15"/>
      <c r="W37" s="15"/>
      <c r="X37" s="15"/>
      <c r="Y37" s="15"/>
      <c r="AB37" s="10"/>
    </row>
    <row r="38" spans="1:28" ht="13" x14ac:dyDescent="0.3">
      <c r="A38" s="74">
        <v>9257032</v>
      </c>
      <c r="B38" s="13" t="s">
        <v>266</v>
      </c>
      <c r="C38" s="536" t="s">
        <v>247</v>
      </c>
      <c r="D38" s="75">
        <v>394773.25</v>
      </c>
      <c r="E38" s="75">
        <v>91206.5</v>
      </c>
      <c r="F38" s="694">
        <v>284822</v>
      </c>
      <c r="G38" s="75">
        <v>179941</v>
      </c>
      <c r="H38" s="77">
        <v>1718856.25</v>
      </c>
      <c r="I38" s="75">
        <v>21631.5</v>
      </c>
      <c r="J38" s="77">
        <v>2691230.5</v>
      </c>
      <c r="K38" s="822">
        <v>2226467.5</v>
      </c>
      <c r="L38" s="824">
        <v>110.41666666666669</v>
      </c>
      <c r="M38" s="15"/>
      <c r="N38" s="15"/>
      <c r="O38" s="15"/>
      <c r="P38" s="15"/>
      <c r="Q38" s="15"/>
      <c r="R38" s="15"/>
      <c r="S38" s="15"/>
      <c r="T38" s="15"/>
      <c r="U38" s="15"/>
      <c r="V38" s="15"/>
      <c r="W38" s="15"/>
      <c r="X38" s="15"/>
      <c r="Y38" s="15"/>
      <c r="AB38" s="10"/>
    </row>
    <row r="39" spans="1:28" ht="13" x14ac:dyDescent="0.3">
      <c r="A39" s="74">
        <v>9257030</v>
      </c>
      <c r="B39" s="13" t="s">
        <v>268</v>
      </c>
      <c r="C39" s="536" t="s">
        <v>247</v>
      </c>
      <c r="D39" s="75">
        <v>394773.25</v>
      </c>
      <c r="E39" s="75">
        <v>91206.5</v>
      </c>
      <c r="F39" s="694">
        <v>349739</v>
      </c>
      <c r="G39" s="75"/>
      <c r="H39" s="77">
        <v>1089690</v>
      </c>
      <c r="I39" s="75">
        <v>14421</v>
      </c>
      <c r="J39" s="77">
        <v>1939829.75</v>
      </c>
      <c r="K39" s="822">
        <v>1590090.75</v>
      </c>
      <c r="L39" s="824">
        <v>70</v>
      </c>
      <c r="M39" s="15"/>
      <c r="N39" s="15"/>
      <c r="O39" s="15"/>
      <c r="P39" s="15"/>
      <c r="Q39" s="15"/>
      <c r="R39" s="65"/>
      <c r="S39" s="64"/>
      <c r="T39" s="64"/>
      <c r="U39" s="64"/>
      <c r="V39" s="64"/>
      <c r="W39" s="15"/>
      <c r="X39" s="15"/>
      <c r="Y39" s="64"/>
      <c r="AB39" s="10"/>
    </row>
    <row r="40" spans="1:28" x14ac:dyDescent="0.25">
      <c r="A40" s="74">
        <v>9257028</v>
      </c>
      <c r="B40" s="67" t="s">
        <v>70</v>
      </c>
      <c r="C40" s="536" t="s">
        <v>249</v>
      </c>
      <c r="D40" s="75">
        <v>522601.4</v>
      </c>
      <c r="E40" s="75">
        <v>137917</v>
      </c>
      <c r="F40" s="75"/>
      <c r="G40" s="75"/>
      <c r="H40" s="77">
        <v>1760286.9508196723</v>
      </c>
      <c r="I40" s="75">
        <v>12017.5</v>
      </c>
      <c r="J40" s="77">
        <v>2432822.8508196725</v>
      </c>
      <c r="K40" s="822">
        <v>2432822.8508196725</v>
      </c>
      <c r="L40" s="824">
        <v>138.66666666666669</v>
      </c>
      <c r="M40" s="15"/>
      <c r="N40" s="15"/>
      <c r="O40" s="15"/>
      <c r="P40" s="15"/>
      <c r="Q40" s="15"/>
      <c r="R40" s="65"/>
      <c r="S40" s="64"/>
      <c r="T40" s="64"/>
      <c r="U40" s="64"/>
      <c r="V40" s="64"/>
      <c r="W40" s="15"/>
      <c r="X40" s="15"/>
      <c r="Y40" s="64"/>
      <c r="AB40" s="10"/>
    </row>
    <row r="41" spans="1:28" x14ac:dyDescent="0.25">
      <c r="A41" s="74">
        <v>9257021</v>
      </c>
      <c r="B41" s="67" t="s">
        <v>263</v>
      </c>
      <c r="C41" s="536" t="s">
        <v>249</v>
      </c>
      <c r="D41" s="75">
        <v>522601.4</v>
      </c>
      <c r="E41" s="75">
        <v>137917</v>
      </c>
      <c r="F41" s="75"/>
      <c r="G41" s="75"/>
      <c r="H41" s="77">
        <v>1761222.4490196081</v>
      </c>
      <c r="I41" s="75">
        <v>31245.5</v>
      </c>
      <c r="J41" s="77">
        <v>2452986.349019608</v>
      </c>
      <c r="K41" s="822">
        <v>2452986.349019608</v>
      </c>
      <c r="L41" s="824">
        <v>178.58333333333334</v>
      </c>
      <c r="M41" s="15"/>
      <c r="N41" s="15"/>
      <c r="O41" s="15"/>
      <c r="P41" s="15"/>
      <c r="Q41" s="15"/>
      <c r="R41" s="65"/>
      <c r="S41" s="64"/>
      <c r="T41" s="64"/>
      <c r="U41" s="64"/>
      <c r="V41" s="64"/>
      <c r="W41" s="15"/>
      <c r="X41" s="15"/>
      <c r="Y41" s="64"/>
      <c r="AB41" s="10"/>
    </row>
    <row r="42" spans="1:28" x14ac:dyDescent="0.25">
      <c r="A42" s="74">
        <v>9257015</v>
      </c>
      <c r="B42" s="67" t="s">
        <v>72</v>
      </c>
      <c r="C42" s="536" t="s">
        <v>251</v>
      </c>
      <c r="D42" s="75">
        <v>615208.69999999995</v>
      </c>
      <c r="E42" s="75">
        <v>153830.5</v>
      </c>
      <c r="F42" s="75"/>
      <c r="G42" s="75">
        <v>551998</v>
      </c>
      <c r="H42" s="77">
        <v>2426041.5943952803</v>
      </c>
      <c r="I42" s="75">
        <v>59606.799999999996</v>
      </c>
      <c r="J42" s="77">
        <v>3806685.5943952799</v>
      </c>
      <c r="K42" s="822">
        <v>3254687.5943952799</v>
      </c>
      <c r="L42" s="824">
        <v>234.33333333333337</v>
      </c>
      <c r="M42" s="15"/>
      <c r="N42" s="15"/>
      <c r="O42" s="15"/>
      <c r="P42" s="15"/>
      <c r="Q42" s="15"/>
      <c r="R42" s="65"/>
      <c r="S42" s="64"/>
      <c r="T42" s="64"/>
      <c r="U42" s="64"/>
      <c r="V42" s="64"/>
      <c r="W42" s="15"/>
      <c r="X42" s="15"/>
      <c r="Y42" s="64"/>
      <c r="AB42" s="10"/>
    </row>
    <row r="43" spans="1:28" x14ac:dyDescent="0.25">
      <c r="A43" s="74">
        <v>9257016</v>
      </c>
      <c r="B43" s="67" t="s">
        <v>73</v>
      </c>
      <c r="C43" s="536" t="s">
        <v>251</v>
      </c>
      <c r="D43" s="75">
        <v>615208.69999999995</v>
      </c>
      <c r="E43" s="75">
        <v>153830.5</v>
      </c>
      <c r="F43" s="75"/>
      <c r="G43" s="75"/>
      <c r="H43" s="77">
        <v>2464094.6604166673</v>
      </c>
      <c r="I43" s="75">
        <v>20670.099999999999</v>
      </c>
      <c r="J43" s="77">
        <v>3253803.9604166676</v>
      </c>
      <c r="K43" s="822">
        <v>3253803.9604166676</v>
      </c>
      <c r="L43" s="824">
        <v>165.16666666666669</v>
      </c>
      <c r="M43" s="15"/>
      <c r="N43" s="15"/>
      <c r="O43" s="15"/>
      <c r="P43" s="15"/>
      <c r="Q43" s="15"/>
      <c r="R43" s="65"/>
      <c r="S43" s="64"/>
      <c r="T43" s="64"/>
      <c r="U43" s="64"/>
      <c r="V43" s="64"/>
      <c r="W43" s="15"/>
      <c r="X43" s="15"/>
      <c r="Y43" s="64"/>
      <c r="AB43" s="10"/>
    </row>
    <row r="44" spans="1:28" x14ac:dyDescent="0.25">
      <c r="A44" s="78"/>
      <c r="B44" s="15"/>
      <c r="C44" s="64"/>
      <c r="D44" s="65"/>
      <c r="E44" s="65"/>
      <c r="F44" s="65"/>
      <c r="G44" s="65"/>
      <c r="H44" s="65"/>
      <c r="I44" s="64"/>
      <c r="J44" s="15"/>
      <c r="K44" s="64"/>
      <c r="L44" s="824"/>
      <c r="M44" s="15"/>
      <c r="N44" s="15"/>
      <c r="O44" s="15"/>
      <c r="P44" s="15"/>
      <c r="Q44" s="15"/>
      <c r="R44" s="65"/>
      <c r="S44" s="64"/>
      <c r="T44" s="64"/>
      <c r="U44" s="64"/>
      <c r="V44" s="64"/>
      <c r="W44" s="15"/>
      <c r="X44" s="15"/>
      <c r="Y44" s="64"/>
      <c r="AB44" s="10"/>
    </row>
    <row r="45" spans="1:28" ht="13" thickBot="1" x14ac:dyDescent="0.3">
      <c r="A45" s="78"/>
      <c r="B45" s="15"/>
      <c r="C45" s="15"/>
      <c r="D45" s="79">
        <v>7969939.1500000013</v>
      </c>
      <c r="E45" s="79">
        <v>2083484</v>
      </c>
      <c r="F45" s="79">
        <v>1182256</v>
      </c>
      <c r="G45" s="79">
        <v>1084343.2</v>
      </c>
      <c r="H45" s="79">
        <v>25715130.768356819</v>
      </c>
      <c r="I45" s="825">
        <v>383598.59999999992</v>
      </c>
      <c r="J45" s="825">
        <v>38418751.718356825</v>
      </c>
      <c r="K45" s="826">
        <v>36152152.51835683</v>
      </c>
      <c r="L45" s="827">
        <v>2184.5833333333335</v>
      </c>
      <c r="M45" s="15"/>
      <c r="N45" s="15"/>
      <c r="O45" s="15"/>
      <c r="P45" s="15"/>
      <c r="Q45" s="15"/>
      <c r="R45" s="65"/>
      <c r="S45" s="64"/>
      <c r="T45" s="64"/>
      <c r="U45" s="64"/>
      <c r="V45" s="64"/>
      <c r="W45" s="15"/>
      <c r="X45" s="15"/>
      <c r="Y45" s="64"/>
      <c r="AB45" s="10"/>
    </row>
    <row r="46" spans="1:28" x14ac:dyDescent="0.25">
      <c r="A46" s="78"/>
      <c r="B46" s="15"/>
      <c r="C46" s="15"/>
      <c r="D46" s="65"/>
      <c r="E46" s="65"/>
      <c r="F46" s="65"/>
      <c r="G46" s="65"/>
      <c r="H46" s="65"/>
      <c r="I46" s="65"/>
      <c r="J46" s="65"/>
      <c r="K46" s="65"/>
      <c r="L46" s="81"/>
      <c r="M46" s="631"/>
      <c r="N46" s="15"/>
      <c r="O46" s="15"/>
      <c r="P46" s="15"/>
      <c r="Q46" s="15"/>
      <c r="R46" s="15"/>
      <c r="S46" s="15"/>
      <c r="T46" s="65"/>
      <c r="U46" s="64"/>
      <c r="V46" s="64"/>
      <c r="W46" s="64"/>
      <c r="X46" s="64"/>
      <c r="Y46" s="15"/>
      <c r="Z46" s="15"/>
      <c r="AA46" s="64"/>
      <c r="AB46" s="10"/>
    </row>
    <row r="47" spans="1:28" x14ac:dyDescent="0.25">
      <c r="A47" s="78"/>
      <c r="B47" s="15"/>
      <c r="C47" s="15"/>
      <c r="D47" s="65"/>
      <c r="E47" s="65"/>
      <c r="F47" s="65"/>
      <c r="G47" s="65"/>
      <c r="H47" s="65"/>
      <c r="I47" s="65"/>
      <c r="J47" s="65"/>
      <c r="K47" s="65"/>
      <c r="L47" s="65"/>
      <c r="M47" s="81"/>
      <c r="N47" s="631"/>
      <c r="O47" s="15"/>
      <c r="P47" s="15"/>
      <c r="Q47" s="15"/>
      <c r="R47" s="15"/>
      <c r="S47" s="15"/>
      <c r="T47" s="15"/>
      <c r="U47" s="65"/>
      <c r="V47" s="64"/>
      <c r="W47" s="64"/>
      <c r="X47" s="64"/>
      <c r="Y47" s="64"/>
      <c r="Z47" s="15"/>
      <c r="AA47" s="15"/>
      <c r="AB47" s="64"/>
    </row>
    <row r="49" spans="3:18" x14ac:dyDescent="0.25">
      <c r="C49" s="15"/>
      <c r="D49" s="64"/>
      <c r="E49" s="64"/>
      <c r="F49" s="64"/>
      <c r="G49" s="64"/>
      <c r="H49" s="15"/>
      <c r="I49" s="15"/>
      <c r="J49" s="15"/>
      <c r="K49" s="64"/>
      <c r="L49" s="15"/>
      <c r="M49" s="64"/>
      <c r="N49" s="15"/>
      <c r="O49" s="15"/>
      <c r="P49" s="15"/>
      <c r="Q49" s="76"/>
      <c r="R49" s="15"/>
    </row>
  </sheetData>
  <conditionalFormatting sqref="C4:C7">
    <cfRule type="cellIs" dxfId="11" priority="7" operator="equal">
      <formula>$C$26</formula>
    </cfRule>
    <cfRule type="cellIs" dxfId="10" priority="8" operator="equal">
      <formula>$C$26</formula>
    </cfRule>
  </conditionalFormatting>
  <conditionalFormatting sqref="C9:C13">
    <cfRule type="cellIs" dxfId="9" priority="5" operator="equal">
      <formula>$C$26</formula>
    </cfRule>
    <cfRule type="cellIs" dxfId="8" priority="6" operator="equal">
      <formula>$C$26</formula>
    </cfRule>
  </conditionalFormatting>
  <conditionalFormatting sqref="C17:C20">
    <cfRule type="cellIs" dxfId="7" priority="3" operator="equal">
      <formula>$C$26</formula>
    </cfRule>
    <cfRule type="cellIs" dxfId="6" priority="4" operator="equal">
      <formula>$C$26</formula>
    </cfRule>
  </conditionalFormatting>
  <conditionalFormatting sqref="C27">
    <cfRule type="cellIs" dxfId="5" priority="1" operator="equal">
      <formula>$C$26</formula>
    </cfRule>
    <cfRule type="cellIs" dxfId="4" priority="2" operator="equal">
      <formula>$C$26</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D007-0D7D-4915-AE0A-A99C3C87041D}">
  <sheetPr>
    <tabColor theme="8" tint="0.39997558519241921"/>
  </sheetPr>
  <dimension ref="A3:Y189"/>
  <sheetViews>
    <sheetView workbookViewId="0">
      <selection activeCell="E5" sqref="E5"/>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60</v>
      </c>
      <c r="E3" s="2" t="s">
        <v>34</v>
      </c>
      <c r="F3" s="2" t="s">
        <v>229</v>
      </c>
      <c r="G3" s="2" t="s">
        <v>230</v>
      </c>
      <c r="H3" s="109" t="s">
        <v>345</v>
      </c>
      <c r="I3" s="2" t="s">
        <v>232</v>
      </c>
      <c r="J3" s="2" t="s">
        <v>233</v>
      </c>
      <c r="K3" s="2" t="s">
        <v>234</v>
      </c>
      <c r="L3" s="109" t="s">
        <v>235</v>
      </c>
      <c r="R3"/>
      <c r="T3" s="552"/>
      <c r="U3" s="552"/>
    </row>
    <row r="4" spans="1:25" ht="13" x14ac:dyDescent="0.3">
      <c r="A4" s="74">
        <v>9257010</v>
      </c>
      <c r="B4" t="s">
        <v>871</v>
      </c>
      <c r="C4" s="101" t="s">
        <v>305</v>
      </c>
      <c r="D4" s="101" t="s">
        <v>346</v>
      </c>
      <c r="E4" s="37">
        <v>48.489996693121689</v>
      </c>
      <c r="F4" s="548">
        <v>1.3597883597883598</v>
      </c>
      <c r="G4" s="548">
        <v>20.620833333333334</v>
      </c>
      <c r="H4" s="548">
        <v>3.927083333333333</v>
      </c>
      <c r="I4" s="548">
        <v>8.8375000000000004</v>
      </c>
      <c r="J4" s="548">
        <v>2.9453125</v>
      </c>
      <c r="K4" s="548">
        <v>10.799479166666666</v>
      </c>
      <c r="L4" s="37">
        <v>0</v>
      </c>
      <c r="N4" s="7"/>
      <c r="O4" s="140">
        <v>9139.18596024607</v>
      </c>
      <c r="P4" s="152" t="s">
        <v>398</v>
      </c>
      <c r="R4" s="354"/>
      <c r="T4" s="553" t="s">
        <v>348</v>
      </c>
      <c r="U4" s="552"/>
      <c r="V4" s="58"/>
      <c r="W4" s="58"/>
      <c r="X4" s="58"/>
      <c r="Y4" s="58"/>
    </row>
    <row r="5" spans="1:25" ht="12.75" customHeight="1" x14ac:dyDescent="0.25">
      <c r="A5" s="74">
        <v>9257010</v>
      </c>
      <c r="B5" t="s">
        <v>781</v>
      </c>
      <c r="C5" s="101" t="s">
        <v>306</v>
      </c>
      <c r="E5" s="37">
        <v>115.33333333333333</v>
      </c>
      <c r="F5" s="549">
        <v>7.0612244897959178</v>
      </c>
      <c r="G5" s="549">
        <v>49.428571428571423</v>
      </c>
      <c r="H5" s="549">
        <v>8.2380952380952372</v>
      </c>
      <c r="I5" s="549">
        <v>15.299319727891158</v>
      </c>
      <c r="J5" s="549">
        <v>9.4149659863945558</v>
      </c>
      <c r="K5" s="549">
        <v>12.945578231292517</v>
      </c>
      <c r="L5" s="169">
        <v>12.945578231292517</v>
      </c>
      <c r="N5" s="7"/>
      <c r="O5" s="7"/>
      <c r="P5" s="7"/>
      <c r="R5" s="354"/>
      <c r="T5" s="554"/>
      <c r="U5" s="554"/>
      <c r="V5" s="551"/>
      <c r="W5" s="551"/>
      <c r="X5" s="551"/>
      <c r="Y5" s="551"/>
    </row>
    <row r="6" spans="1:25" x14ac:dyDescent="0.25">
      <c r="A6" s="74">
        <v>9257010</v>
      </c>
      <c r="B6" t="s">
        <v>782</v>
      </c>
      <c r="F6" s="170">
        <v>5.7014361300075578</v>
      </c>
      <c r="G6" s="170">
        <v>28.80773809523809</v>
      </c>
      <c r="H6" s="170">
        <v>4.3110119047619042</v>
      </c>
      <c r="I6" s="170">
        <v>6.4618197278911573</v>
      </c>
      <c r="J6" s="170">
        <v>6.4696534863945558</v>
      </c>
      <c r="K6" s="170">
        <v>2.1460990646258509</v>
      </c>
      <c r="N6" s="7"/>
      <c r="O6" s="7"/>
      <c r="P6" s="7"/>
      <c r="R6" s="354"/>
      <c r="T6" s="554"/>
      <c r="U6" s="554"/>
      <c r="V6" s="551"/>
      <c r="W6" s="551"/>
      <c r="X6" s="551"/>
      <c r="Y6" s="551"/>
    </row>
    <row r="7" spans="1:25" x14ac:dyDescent="0.25">
      <c r="A7" s="74">
        <v>9257010</v>
      </c>
      <c r="B7" t="s">
        <v>783</v>
      </c>
      <c r="C7" s="101" t="s">
        <v>349</v>
      </c>
      <c r="D7" s="101" t="s">
        <v>346</v>
      </c>
      <c r="F7" s="549">
        <v>1.3597883597883598</v>
      </c>
      <c r="G7" s="549">
        <v>20.620833333333334</v>
      </c>
      <c r="H7" s="549">
        <v>3.927083333333333</v>
      </c>
      <c r="I7" s="549">
        <v>8.8375000000000004</v>
      </c>
      <c r="J7" s="549">
        <v>2.9453125</v>
      </c>
      <c r="K7" s="549">
        <v>10.799479166666666</v>
      </c>
      <c r="L7" s="37"/>
      <c r="M7" s="7"/>
      <c r="N7" s="7"/>
      <c r="O7" s="7"/>
      <c r="P7" s="7"/>
      <c r="R7" s="354"/>
      <c r="T7" s="554"/>
      <c r="U7" s="554"/>
      <c r="V7" s="551"/>
      <c r="W7" s="551"/>
      <c r="X7" s="551"/>
      <c r="Y7" s="551"/>
    </row>
    <row r="8" spans="1:25" x14ac:dyDescent="0.25">
      <c r="A8" s="74">
        <v>9257010</v>
      </c>
      <c r="B8" s="101" t="s">
        <v>350</v>
      </c>
      <c r="C8" s="101" t="s">
        <v>305</v>
      </c>
      <c r="D8" s="101" t="s">
        <v>351</v>
      </c>
      <c r="F8" s="550">
        <v>294.99321338590244</v>
      </c>
      <c r="G8" s="550">
        <v>283.25087896086598</v>
      </c>
      <c r="H8" s="550">
        <v>142.34286586042981</v>
      </c>
      <c r="I8" s="550">
        <v>89.502360947766647</v>
      </c>
      <c r="J8" s="550">
        <v>89.502360947766647</v>
      </c>
      <c r="K8" s="550">
        <v>118.85819701035689</v>
      </c>
      <c r="L8" s="37"/>
      <c r="M8" s="152" t="s">
        <v>399</v>
      </c>
      <c r="N8" s="7"/>
      <c r="O8" s="7"/>
      <c r="P8" s="7"/>
      <c r="R8" s="354"/>
      <c r="T8" s="547"/>
      <c r="U8" s="547"/>
      <c r="V8" s="547"/>
      <c r="W8" s="547"/>
      <c r="X8" s="547"/>
      <c r="Y8" s="547"/>
    </row>
    <row r="9" spans="1:25" x14ac:dyDescent="0.25">
      <c r="A9" s="74">
        <v>9257010</v>
      </c>
      <c r="B9" t="s">
        <v>784</v>
      </c>
      <c r="C9" s="101" t="s">
        <v>353</v>
      </c>
      <c r="D9" s="101" t="s">
        <v>354</v>
      </c>
      <c r="F9" s="550">
        <v>150.01676778686306</v>
      </c>
      <c r="G9" s="550">
        <v>180.02012134423603</v>
      </c>
      <c r="H9" s="550">
        <v>418.69476201554426</v>
      </c>
      <c r="I9" s="550">
        <v>429.59609436588289</v>
      </c>
      <c r="J9" s="550">
        <v>429.59609436588289</v>
      </c>
      <c r="K9" s="550">
        <v>436.41416403078438</v>
      </c>
      <c r="L9" s="37"/>
      <c r="M9" s="152" t="s">
        <v>400</v>
      </c>
      <c r="R9" s="354"/>
    </row>
    <row r="10" spans="1:25" x14ac:dyDescent="0.25">
      <c r="A10" s="74">
        <v>9257010</v>
      </c>
      <c r="B10" s="101" t="s">
        <v>356</v>
      </c>
      <c r="C10" s="101" t="s">
        <v>306</v>
      </c>
      <c r="D10" s="101" t="s">
        <v>351</v>
      </c>
      <c r="F10" s="550">
        <v>144.97644559903938</v>
      </c>
      <c r="G10" s="550">
        <v>103.23075761662994</v>
      </c>
      <c r="H10" s="550">
        <v>0</v>
      </c>
      <c r="I10" s="550">
        <v>0</v>
      </c>
      <c r="J10" s="550">
        <v>0</v>
      </c>
      <c r="K10" s="550">
        <v>0</v>
      </c>
      <c r="L10" s="37"/>
      <c r="M10" s="152"/>
      <c r="R10" s="354"/>
    </row>
    <row r="11" spans="1:25" x14ac:dyDescent="0.25">
      <c r="A11" s="74">
        <v>9257010</v>
      </c>
      <c r="B11" t="s">
        <v>785</v>
      </c>
      <c r="C11" s="101" t="s">
        <v>357</v>
      </c>
      <c r="D11" s="101" t="s">
        <v>217</v>
      </c>
      <c r="F11" s="7">
        <v>197.13728316906412</v>
      </c>
      <c r="G11" s="7">
        <v>2128.7042476862566</v>
      </c>
      <c r="H11" s="7">
        <v>0</v>
      </c>
      <c r="I11" s="7">
        <v>0</v>
      </c>
      <c r="J11" s="7">
        <v>0</v>
      </c>
      <c r="K11" s="7">
        <v>0</v>
      </c>
      <c r="L11" s="141">
        <v>2325.8415308553208</v>
      </c>
      <c r="M11" s="140">
        <v>-6813.3444293907487</v>
      </c>
      <c r="R11" s="354"/>
    </row>
    <row r="12" spans="1:25" x14ac:dyDescent="0.25">
      <c r="A12" s="74"/>
      <c r="C12" s="101"/>
      <c r="D12" s="101" t="s">
        <v>401</v>
      </c>
      <c r="F12" s="670">
        <v>1.3597883597883598</v>
      </c>
      <c r="G12" s="670">
        <v>20.620833333333334</v>
      </c>
      <c r="H12" s="670">
        <v>0</v>
      </c>
      <c r="I12" s="670">
        <v>0</v>
      </c>
      <c r="J12" s="670">
        <v>0</v>
      </c>
      <c r="K12" s="670">
        <v>0</v>
      </c>
      <c r="L12" s="7"/>
      <c r="M12" s="7"/>
      <c r="R12" s="354"/>
    </row>
    <row r="13" spans="1:25" x14ac:dyDescent="0.25">
      <c r="A13" s="632"/>
      <c r="B13" s="633" t="s">
        <v>63</v>
      </c>
      <c r="C13" s="174"/>
      <c r="D13" s="174"/>
      <c r="E13" s="175"/>
      <c r="F13" s="176"/>
      <c r="G13" s="176"/>
      <c r="H13" s="176"/>
      <c r="I13" s="176"/>
      <c r="J13" s="176"/>
      <c r="K13" s="176"/>
      <c r="L13" s="176"/>
      <c r="M13" s="175"/>
      <c r="N13" s="175"/>
      <c r="O13" s="175"/>
      <c r="P13" s="175"/>
      <c r="Q13" s="175"/>
      <c r="R13"/>
    </row>
    <row r="14" spans="1:25" x14ac:dyDescent="0.25">
      <c r="A14" s="74">
        <v>9257005</v>
      </c>
      <c r="B14" t="s">
        <v>872</v>
      </c>
      <c r="C14" s="101" t="s">
        <v>305</v>
      </c>
      <c r="D14" s="101" t="s">
        <v>346</v>
      </c>
      <c r="E14" s="37">
        <v>50.391565114221365</v>
      </c>
      <c r="F14" s="548">
        <v>1.3214285714285714</v>
      </c>
      <c r="G14" s="548">
        <v>16.827702702702705</v>
      </c>
      <c r="H14" s="548">
        <v>4.848958333333333</v>
      </c>
      <c r="I14" s="548">
        <v>10.888513513513514</v>
      </c>
      <c r="J14" s="548">
        <v>3.63671875</v>
      </c>
      <c r="K14" s="548">
        <v>12.868243243243244</v>
      </c>
      <c r="L14" s="37">
        <v>0</v>
      </c>
      <c r="N14" s="7"/>
      <c r="O14" s="140">
        <v>1106.2590793901277</v>
      </c>
      <c r="P14" s="7"/>
      <c r="R14" s="354"/>
    </row>
    <row r="15" spans="1:25" x14ac:dyDescent="0.25">
      <c r="A15" s="74">
        <v>9257005</v>
      </c>
      <c r="B15" t="s">
        <v>786</v>
      </c>
      <c r="C15" s="101" t="s">
        <v>306</v>
      </c>
      <c r="D15" t="s">
        <v>786</v>
      </c>
      <c r="E15" s="37">
        <v>88.583333333333343</v>
      </c>
      <c r="F15" s="549">
        <v>5.4234693877551026</v>
      </c>
      <c r="G15" s="549">
        <v>37.964285714285715</v>
      </c>
      <c r="H15" s="549">
        <v>6.3273809523809526</v>
      </c>
      <c r="I15" s="549">
        <v>11.750850340136056</v>
      </c>
      <c r="J15" s="549">
        <v>7.2312925170068025</v>
      </c>
      <c r="K15" s="549">
        <v>9.9430272108843543</v>
      </c>
      <c r="L15" s="169">
        <v>9.9430272108843543</v>
      </c>
      <c r="N15" s="7"/>
      <c r="O15" s="7"/>
      <c r="P15" s="7"/>
      <c r="R15" s="354"/>
    </row>
    <row r="16" spans="1:25" x14ac:dyDescent="0.25">
      <c r="A16" s="74">
        <v>9257005</v>
      </c>
      <c r="B16" t="s">
        <v>787</v>
      </c>
      <c r="E16" s="37"/>
      <c r="F16" s="170">
        <v>4.1020408163265314</v>
      </c>
      <c r="G16" s="170">
        <v>21.13658301158301</v>
      </c>
      <c r="H16" s="170">
        <v>1.4784226190476195</v>
      </c>
      <c r="I16" s="170">
        <v>0.86233682662254196</v>
      </c>
      <c r="J16" s="170">
        <v>3.5945737670068025</v>
      </c>
      <c r="K16" s="170">
        <v>-2.9252160323588896</v>
      </c>
      <c r="L16" s="169"/>
      <c r="N16" s="7"/>
      <c r="O16" s="7"/>
      <c r="P16" s="7"/>
      <c r="R16" s="354"/>
    </row>
    <row r="17" spans="1:18" x14ac:dyDescent="0.25">
      <c r="A17" s="74">
        <v>9257005</v>
      </c>
      <c r="B17" t="s">
        <v>788</v>
      </c>
      <c r="C17" s="101" t="s">
        <v>349</v>
      </c>
      <c r="D17" s="101" t="s">
        <v>346</v>
      </c>
      <c r="F17" s="549">
        <v>1.3214285714285714</v>
      </c>
      <c r="G17" s="549">
        <v>16.827702702702705</v>
      </c>
      <c r="H17" s="549">
        <v>4.848958333333333</v>
      </c>
      <c r="I17" s="549">
        <v>10.888513513513514</v>
      </c>
      <c r="J17" s="549">
        <v>3.63671875</v>
      </c>
      <c r="K17" s="549">
        <v>9.9430272108843543</v>
      </c>
      <c r="L17" s="37"/>
      <c r="M17" s="7"/>
      <c r="N17" s="7"/>
      <c r="O17" s="7"/>
      <c r="P17" s="7"/>
      <c r="R17" s="354"/>
    </row>
    <row r="18" spans="1:18" x14ac:dyDescent="0.25">
      <c r="A18" s="74"/>
      <c r="B18" s="101" t="s">
        <v>358</v>
      </c>
      <c r="C18" s="101" t="s">
        <v>305</v>
      </c>
      <c r="D18" s="101" t="s">
        <v>351</v>
      </c>
      <c r="F18" s="140">
        <v>71.841212256191739</v>
      </c>
      <c r="G18" s="140">
        <v>60.098877831155278</v>
      </c>
      <c r="H18" s="140">
        <v>0</v>
      </c>
      <c r="I18" s="140">
        <v>0</v>
      </c>
      <c r="J18" s="140">
        <v>0</v>
      </c>
      <c r="K18" s="140">
        <v>0</v>
      </c>
      <c r="L18" s="37"/>
      <c r="M18" s="7"/>
      <c r="N18" s="7"/>
      <c r="O18" s="7"/>
      <c r="P18" s="7"/>
      <c r="R18" s="354"/>
    </row>
    <row r="19" spans="1:18" x14ac:dyDescent="0.25">
      <c r="A19" s="74">
        <v>9257005</v>
      </c>
      <c r="B19" t="s">
        <v>789</v>
      </c>
      <c r="C19" s="101" t="s">
        <v>353</v>
      </c>
      <c r="D19" s="101" t="s">
        <v>354</v>
      </c>
      <c r="F19" s="550">
        <v>150.01676778686306</v>
      </c>
      <c r="G19" s="550">
        <v>180.02012134423603</v>
      </c>
      <c r="H19" s="550">
        <v>418.69476201554426</v>
      </c>
      <c r="I19" s="550">
        <v>429.59609436588289</v>
      </c>
      <c r="J19" s="550">
        <v>429.59609436588289</v>
      </c>
      <c r="K19" s="550">
        <v>436.41416403078438</v>
      </c>
      <c r="L19" s="37"/>
      <c r="M19" s="7"/>
      <c r="N19" s="7"/>
      <c r="O19" s="7"/>
      <c r="R19" s="354"/>
    </row>
    <row r="20" spans="1:18" x14ac:dyDescent="0.25">
      <c r="A20" s="74"/>
      <c r="B20" s="101" t="s">
        <v>359</v>
      </c>
      <c r="C20" s="101" t="s">
        <v>306</v>
      </c>
      <c r="D20" s="101" t="s">
        <v>351</v>
      </c>
      <c r="F20" s="550">
        <v>0</v>
      </c>
      <c r="G20" s="550">
        <v>0</v>
      </c>
      <c r="H20" s="550">
        <v>0</v>
      </c>
      <c r="I20" s="550">
        <v>0</v>
      </c>
      <c r="J20" s="550">
        <v>0</v>
      </c>
      <c r="K20" s="550">
        <v>0</v>
      </c>
      <c r="L20" s="37"/>
      <c r="M20" s="7"/>
      <c r="N20" s="7"/>
      <c r="O20" s="7"/>
      <c r="R20" s="354"/>
    </row>
    <row r="21" spans="1:18" x14ac:dyDescent="0.25">
      <c r="A21" s="74">
        <v>9257005</v>
      </c>
      <c r="B21" t="s">
        <v>790</v>
      </c>
      <c r="C21" s="101" t="s">
        <v>357</v>
      </c>
      <c r="D21" s="101" t="s">
        <v>217</v>
      </c>
      <c r="F21" s="7">
        <v>0</v>
      </c>
      <c r="G21" s="7">
        <v>0</v>
      </c>
      <c r="H21" s="7">
        <v>0</v>
      </c>
      <c r="I21" s="7">
        <v>0</v>
      </c>
      <c r="J21" s="7">
        <v>0</v>
      </c>
      <c r="K21" s="7">
        <v>0</v>
      </c>
      <c r="L21" s="141">
        <v>0</v>
      </c>
      <c r="M21" s="140">
        <v>-1106.2590793901277</v>
      </c>
      <c r="N21" s="7"/>
      <c r="O21" s="7"/>
      <c r="R21" s="354"/>
    </row>
    <row r="22" spans="1:18" x14ac:dyDescent="0.25">
      <c r="A22" s="74"/>
      <c r="C22" s="101"/>
      <c r="D22" s="101" t="s">
        <v>401</v>
      </c>
      <c r="F22" s="670">
        <v>0</v>
      </c>
      <c r="G22" s="670">
        <v>0</v>
      </c>
      <c r="H22" s="670">
        <v>0</v>
      </c>
      <c r="I22" s="670">
        <v>0</v>
      </c>
      <c r="J22" s="670">
        <v>0</v>
      </c>
      <c r="K22" s="670">
        <v>0</v>
      </c>
      <c r="L22" s="7"/>
      <c r="M22" s="7"/>
      <c r="N22" s="7"/>
      <c r="O22" s="7"/>
      <c r="R22" s="354"/>
    </row>
    <row r="23" spans="1:18" x14ac:dyDescent="0.25">
      <c r="A23" s="634"/>
      <c r="B23" s="374" t="s">
        <v>64</v>
      </c>
      <c r="C23" s="171"/>
      <c r="D23" s="171"/>
      <c r="E23" s="172"/>
      <c r="F23" s="172"/>
      <c r="G23" s="172"/>
      <c r="H23" s="172"/>
      <c r="I23" s="172"/>
      <c r="J23" s="172"/>
      <c r="K23" s="172"/>
      <c r="L23" s="172"/>
      <c r="M23" s="172"/>
      <c r="N23" s="172"/>
      <c r="O23" s="172"/>
      <c r="P23" s="172"/>
      <c r="Q23" s="172"/>
      <c r="R23"/>
    </row>
    <row r="24" spans="1:18" x14ac:dyDescent="0.25">
      <c r="A24" s="74">
        <v>9257025</v>
      </c>
      <c r="B24" t="s">
        <v>873</v>
      </c>
      <c r="C24" s="101" t="s">
        <v>305</v>
      </c>
      <c r="D24" s="101" t="s">
        <v>346</v>
      </c>
      <c r="E24" s="37">
        <v>56.761890136890145</v>
      </c>
      <c r="F24" s="548">
        <v>12.077922077922077</v>
      </c>
      <c r="G24" s="548">
        <v>21.231981981981988</v>
      </c>
      <c r="H24" s="548">
        <v>3.0194805194805192</v>
      </c>
      <c r="I24" s="548">
        <v>8.6858108108108141</v>
      </c>
      <c r="J24" s="548">
        <v>4.0259740259740262</v>
      </c>
      <c r="K24" s="548">
        <v>7.7207207207207231</v>
      </c>
      <c r="L24" s="37">
        <v>0</v>
      </c>
      <c r="N24" s="7"/>
      <c r="O24" s="140">
        <v>20124.481605575605</v>
      </c>
      <c r="P24" s="7"/>
      <c r="R24" s="354"/>
    </row>
    <row r="25" spans="1:18" x14ac:dyDescent="0.25">
      <c r="A25" s="74">
        <v>9257025</v>
      </c>
      <c r="B25" t="s">
        <v>791</v>
      </c>
      <c r="C25" s="101" t="s">
        <v>306</v>
      </c>
      <c r="D25" t="s">
        <v>791</v>
      </c>
      <c r="E25" s="37">
        <v>84.416666666666671</v>
      </c>
      <c r="F25" s="549">
        <v>11.754219409282701</v>
      </c>
      <c r="G25" s="549">
        <v>39.536919831223628</v>
      </c>
      <c r="H25" s="549">
        <v>3.2056962025316458</v>
      </c>
      <c r="I25" s="549">
        <v>9.6170886075949369</v>
      </c>
      <c r="J25" s="549">
        <v>3.2056962025316458</v>
      </c>
      <c r="K25" s="549">
        <v>12.822784810126583</v>
      </c>
      <c r="L25" s="169">
        <v>4.2742616033755274</v>
      </c>
      <c r="N25" s="7"/>
      <c r="O25" s="7"/>
      <c r="P25" s="7"/>
      <c r="R25" s="351"/>
    </row>
    <row r="26" spans="1:18" x14ac:dyDescent="0.25">
      <c r="A26" s="74">
        <v>9257025</v>
      </c>
      <c r="B26" t="s">
        <v>792</v>
      </c>
      <c r="E26" s="37"/>
      <c r="F26" s="170">
        <v>-0.3237026686393758</v>
      </c>
      <c r="G26" s="170">
        <v>18.304937849241639</v>
      </c>
      <c r="H26" s="170">
        <v>0.18621568305112657</v>
      </c>
      <c r="I26" s="170">
        <v>0.93127779678412281</v>
      </c>
      <c r="J26" s="170">
        <v>-0.82027782344238043</v>
      </c>
      <c r="K26" s="170">
        <v>5.10206408940586</v>
      </c>
      <c r="L26" s="169"/>
      <c r="N26" s="7"/>
      <c r="O26" s="7"/>
      <c r="P26" s="7"/>
      <c r="R26" s="351"/>
    </row>
    <row r="27" spans="1:18" x14ac:dyDescent="0.25">
      <c r="A27" s="74">
        <v>9257025</v>
      </c>
      <c r="B27" t="s">
        <v>793</v>
      </c>
      <c r="C27" s="101" t="s">
        <v>349</v>
      </c>
      <c r="D27" s="101" t="s">
        <v>346</v>
      </c>
      <c r="F27" s="549">
        <v>11.754219409282701</v>
      </c>
      <c r="G27" s="549">
        <v>21.231981981981988</v>
      </c>
      <c r="H27" s="549">
        <v>3.0194805194805192</v>
      </c>
      <c r="I27" s="549">
        <v>8.6858108108108141</v>
      </c>
      <c r="J27" s="549">
        <v>3.2056962025316458</v>
      </c>
      <c r="K27" s="549">
        <v>7.7207207207207231</v>
      </c>
      <c r="L27" s="37"/>
      <c r="M27" s="7"/>
      <c r="N27" s="7"/>
      <c r="O27" s="7"/>
      <c r="P27" s="7"/>
      <c r="R27" s="351"/>
    </row>
    <row r="28" spans="1:18" x14ac:dyDescent="0.25">
      <c r="A28" s="74"/>
      <c r="B28" s="101" t="s">
        <v>360</v>
      </c>
      <c r="C28" s="101" t="s">
        <v>305</v>
      </c>
      <c r="D28" s="101" t="s">
        <v>351</v>
      </c>
      <c r="F28" s="140">
        <v>437.03203156255631</v>
      </c>
      <c r="G28" s="140">
        <v>425.28969713751985</v>
      </c>
      <c r="H28" s="140">
        <v>284.38168403708369</v>
      </c>
      <c r="I28" s="140">
        <v>231.54117912442052</v>
      </c>
      <c r="J28" s="140">
        <v>231.54117912442052</v>
      </c>
      <c r="K28" s="140">
        <v>260.89701518701077</v>
      </c>
      <c r="L28" s="37"/>
      <c r="M28" s="7"/>
      <c r="N28" s="7"/>
      <c r="O28" s="7"/>
      <c r="P28" s="7"/>
      <c r="R28" s="351"/>
    </row>
    <row r="29" spans="1:18" x14ac:dyDescent="0.25">
      <c r="A29" s="74">
        <v>9257025</v>
      </c>
      <c r="B29" t="s">
        <v>794</v>
      </c>
      <c r="C29" s="101" t="s">
        <v>353</v>
      </c>
      <c r="D29" s="101" t="s">
        <v>354</v>
      </c>
      <c r="F29" s="550">
        <v>150.01676778686306</v>
      </c>
      <c r="G29" s="550">
        <v>180.02012134423603</v>
      </c>
      <c r="H29" s="550">
        <v>418.69476201554426</v>
      </c>
      <c r="I29" s="550">
        <v>429.59609436588289</v>
      </c>
      <c r="J29" s="550">
        <v>429.59609436588289</v>
      </c>
      <c r="K29" s="550">
        <v>436.41416403078438</v>
      </c>
      <c r="L29" s="37"/>
      <c r="M29" s="7"/>
      <c r="N29" s="7"/>
      <c r="O29" s="7"/>
      <c r="R29" s="351"/>
    </row>
    <row r="30" spans="1:18" x14ac:dyDescent="0.25">
      <c r="A30" s="74"/>
      <c r="B30" s="101" t="s">
        <v>361</v>
      </c>
      <c r="C30" s="101" t="s">
        <v>306</v>
      </c>
      <c r="D30" s="101" t="s">
        <v>351</v>
      </c>
      <c r="F30" s="550">
        <v>287.01526377569326</v>
      </c>
      <c r="G30" s="550">
        <v>245.26957579328382</v>
      </c>
      <c r="H30" s="550">
        <v>0</v>
      </c>
      <c r="I30" s="550">
        <v>0</v>
      </c>
      <c r="J30" s="550">
        <v>0</v>
      </c>
      <c r="K30" s="550">
        <v>0</v>
      </c>
      <c r="L30" s="37"/>
      <c r="M30" s="7"/>
      <c r="N30" s="7"/>
      <c r="O30" s="7"/>
      <c r="R30" s="351"/>
    </row>
    <row r="31" spans="1:18" x14ac:dyDescent="0.25">
      <c r="A31" s="74">
        <v>9257025</v>
      </c>
      <c r="B31" t="s">
        <v>795</v>
      </c>
      <c r="C31" s="101" t="s">
        <v>357</v>
      </c>
      <c r="D31" s="101" t="s">
        <v>217</v>
      </c>
      <c r="F31" s="7">
        <v>3373.6403842326476</v>
      </c>
      <c r="G31" s="7">
        <v>5207.5592139713681</v>
      </c>
      <c r="H31" s="7">
        <v>0</v>
      </c>
      <c r="I31" s="7">
        <v>0</v>
      </c>
      <c r="J31" s="7">
        <v>0</v>
      </c>
      <c r="K31" s="7">
        <v>0</v>
      </c>
      <c r="L31" s="141">
        <v>8581.1995982040153</v>
      </c>
      <c r="M31" s="140">
        <v>-11543.28200737159</v>
      </c>
      <c r="N31" s="7"/>
      <c r="O31" s="7"/>
      <c r="R31" s="351"/>
    </row>
    <row r="32" spans="1:18" x14ac:dyDescent="0.25">
      <c r="A32" s="74"/>
      <c r="C32" s="101"/>
      <c r="D32" s="101" t="s">
        <v>401</v>
      </c>
      <c r="F32" s="670">
        <v>11.754219409282701</v>
      </c>
      <c r="G32" s="670">
        <v>21.231981981981988</v>
      </c>
      <c r="H32" s="670">
        <v>0</v>
      </c>
      <c r="I32" s="670">
        <v>0</v>
      </c>
      <c r="J32" s="670">
        <v>0</v>
      </c>
      <c r="K32" s="670">
        <v>0</v>
      </c>
      <c r="L32" s="7"/>
      <c r="M32" s="7"/>
      <c r="N32" s="7"/>
      <c r="O32" s="7"/>
      <c r="R32" s="351"/>
    </row>
    <row r="33" spans="1:18" x14ac:dyDescent="0.25">
      <c r="A33" s="634"/>
      <c r="B33" s="374" t="s">
        <v>65</v>
      </c>
      <c r="C33" s="171"/>
      <c r="D33" s="171"/>
      <c r="E33" s="172"/>
      <c r="F33" s="172"/>
      <c r="G33" s="172"/>
      <c r="H33" s="172"/>
      <c r="I33" s="172"/>
      <c r="J33" s="172"/>
      <c r="K33" s="172"/>
      <c r="L33" s="172"/>
      <c r="M33" s="172"/>
      <c r="N33" s="172"/>
      <c r="O33" s="172"/>
      <c r="P33" s="172"/>
      <c r="Q33" s="172"/>
    </row>
    <row r="34" spans="1:18" x14ac:dyDescent="0.25">
      <c r="A34" s="74">
        <v>9257011</v>
      </c>
      <c r="B34" t="s">
        <v>796</v>
      </c>
      <c r="C34" s="101" t="s">
        <v>305</v>
      </c>
      <c r="D34" s="101" t="s">
        <v>346</v>
      </c>
      <c r="E34" s="37">
        <v>0</v>
      </c>
      <c r="F34" s="548">
        <v>0</v>
      </c>
      <c r="G34" s="548">
        <v>0</v>
      </c>
      <c r="H34" s="548">
        <v>0</v>
      </c>
      <c r="I34" s="548">
        <v>0</v>
      </c>
      <c r="J34" s="548">
        <v>0</v>
      </c>
      <c r="K34" s="548">
        <v>0</v>
      </c>
      <c r="L34" s="37">
        <v>0</v>
      </c>
      <c r="N34" s="7"/>
      <c r="O34" s="140">
        <v>0</v>
      </c>
      <c r="P34" s="7"/>
      <c r="R34" s="351"/>
    </row>
    <row r="35" spans="1:18" x14ac:dyDescent="0.25">
      <c r="A35" s="74">
        <v>9257011</v>
      </c>
      <c r="B35" t="s">
        <v>874</v>
      </c>
      <c r="C35" s="101" t="s">
        <v>306</v>
      </c>
      <c r="D35" t="s">
        <v>874</v>
      </c>
      <c r="E35" s="37" t="e">
        <v>#N/A</v>
      </c>
      <c r="F35" s="549" t="e">
        <v>#N/A</v>
      </c>
      <c r="G35" s="549" t="e">
        <v>#N/A</v>
      </c>
      <c r="H35" s="549" t="e">
        <v>#N/A</v>
      </c>
      <c r="I35" s="549" t="e">
        <v>#N/A</v>
      </c>
      <c r="J35" s="549" t="e">
        <v>#N/A</v>
      </c>
      <c r="K35" s="549" t="e">
        <v>#N/A</v>
      </c>
      <c r="L35" s="169" t="e">
        <v>#N/A</v>
      </c>
      <c r="N35" s="7"/>
      <c r="O35" s="7"/>
      <c r="P35" s="7"/>
      <c r="R35" s="351"/>
    </row>
    <row r="36" spans="1:18" x14ac:dyDescent="0.25">
      <c r="A36" s="74">
        <v>9257011</v>
      </c>
      <c r="B36" t="s">
        <v>797</v>
      </c>
      <c r="F36" s="170" t="e">
        <v>#N/A</v>
      </c>
      <c r="G36" s="170" t="e">
        <v>#N/A</v>
      </c>
      <c r="H36" s="170" t="e">
        <v>#N/A</v>
      </c>
      <c r="I36" s="170" t="e">
        <v>#N/A</v>
      </c>
      <c r="J36" s="170" t="e">
        <v>#N/A</v>
      </c>
      <c r="K36" s="170" t="e">
        <v>#N/A</v>
      </c>
      <c r="L36" s="169"/>
      <c r="N36" s="7"/>
      <c r="O36" s="7"/>
      <c r="P36" s="7"/>
      <c r="R36" s="351"/>
    </row>
    <row r="37" spans="1:18" x14ac:dyDescent="0.25">
      <c r="A37" s="74">
        <v>9257011</v>
      </c>
      <c r="B37" t="s">
        <v>798</v>
      </c>
      <c r="C37" s="101" t="s">
        <v>349</v>
      </c>
      <c r="D37" s="101" t="s">
        <v>346</v>
      </c>
      <c r="F37" s="549" t="e">
        <v>#N/A</v>
      </c>
      <c r="G37" s="549" t="e">
        <v>#N/A</v>
      </c>
      <c r="H37" s="549" t="e">
        <v>#N/A</v>
      </c>
      <c r="I37" s="549" t="e">
        <v>#N/A</v>
      </c>
      <c r="J37" s="549" t="e">
        <v>#N/A</v>
      </c>
      <c r="K37" s="549" t="e">
        <v>#N/A</v>
      </c>
      <c r="L37" s="37"/>
      <c r="M37" s="7"/>
      <c r="N37" s="7"/>
      <c r="O37" s="7"/>
      <c r="P37" s="7"/>
      <c r="R37" s="351"/>
    </row>
    <row r="38" spans="1:18" x14ac:dyDescent="0.25">
      <c r="A38" s="74"/>
      <c r="B38" s="101" t="s">
        <v>362</v>
      </c>
      <c r="C38" s="101" t="s">
        <v>305</v>
      </c>
      <c r="D38" s="101" t="s">
        <v>351</v>
      </c>
      <c r="F38" s="140">
        <v>0</v>
      </c>
      <c r="G38" s="140">
        <v>0</v>
      </c>
      <c r="H38" s="140">
        <v>0</v>
      </c>
      <c r="I38" s="140">
        <v>0</v>
      </c>
      <c r="J38" s="140">
        <v>0</v>
      </c>
      <c r="K38" s="140">
        <v>0</v>
      </c>
      <c r="L38" s="37"/>
      <c r="M38" s="7"/>
      <c r="N38" s="7"/>
      <c r="O38" s="7"/>
      <c r="P38" s="7"/>
      <c r="R38" s="351"/>
    </row>
    <row r="39" spans="1:18" x14ac:dyDescent="0.25">
      <c r="A39" s="74">
        <v>9257011</v>
      </c>
      <c r="B39" t="s">
        <v>799</v>
      </c>
      <c r="C39" s="101" t="s">
        <v>353</v>
      </c>
      <c r="D39" s="101" t="s">
        <v>354</v>
      </c>
      <c r="F39" s="550">
        <v>150.01676778686306</v>
      </c>
      <c r="G39" s="550">
        <v>180.02012134423603</v>
      </c>
      <c r="H39" s="550">
        <v>418.69476201554426</v>
      </c>
      <c r="I39" s="550">
        <v>429.59609436588289</v>
      </c>
      <c r="J39" s="550">
        <v>429.59609436588289</v>
      </c>
      <c r="K39" s="550">
        <v>436.41416403078438</v>
      </c>
      <c r="L39" s="37"/>
      <c r="M39" s="7"/>
      <c r="R39" s="351"/>
    </row>
    <row r="40" spans="1:18" x14ac:dyDescent="0.25">
      <c r="A40" s="74"/>
      <c r="B40" t="s">
        <v>363</v>
      </c>
      <c r="C40" s="101" t="s">
        <v>306</v>
      </c>
      <c r="D40" s="101" t="s">
        <v>351</v>
      </c>
      <c r="F40" s="550">
        <v>0</v>
      </c>
      <c r="G40" s="550">
        <v>0</v>
      </c>
      <c r="H40" s="550">
        <v>0</v>
      </c>
      <c r="I40" s="550">
        <v>0</v>
      </c>
      <c r="J40" s="550">
        <v>0</v>
      </c>
      <c r="K40" s="550">
        <v>0</v>
      </c>
      <c r="L40" s="37"/>
      <c r="M40" s="7"/>
      <c r="R40" s="351"/>
    </row>
    <row r="41" spans="1:18" x14ac:dyDescent="0.25">
      <c r="A41" s="74">
        <v>9257011</v>
      </c>
      <c r="B41" t="s">
        <v>800</v>
      </c>
      <c r="C41" s="101" t="s">
        <v>357</v>
      </c>
      <c r="D41" s="101" t="s">
        <v>217</v>
      </c>
      <c r="F41" s="7" t="e">
        <v>#N/A</v>
      </c>
      <c r="G41" s="7" t="e">
        <v>#N/A</v>
      </c>
      <c r="H41" s="7" t="e">
        <v>#N/A</v>
      </c>
      <c r="I41" s="7" t="e">
        <v>#N/A</v>
      </c>
      <c r="J41" s="7" t="e">
        <v>#N/A</v>
      </c>
      <c r="K41" s="7" t="e">
        <v>#N/A</v>
      </c>
      <c r="L41" s="141" t="e">
        <v>#N/A</v>
      </c>
      <c r="M41" s="140" t="e">
        <v>#N/A</v>
      </c>
      <c r="R41" s="351"/>
    </row>
    <row r="42" spans="1:18" x14ac:dyDescent="0.25">
      <c r="A42" s="78"/>
      <c r="C42" s="101"/>
      <c r="D42" s="101"/>
      <c r="F42" s="7"/>
      <c r="G42" s="7"/>
      <c r="H42" s="7"/>
      <c r="I42" s="7"/>
      <c r="J42" s="7"/>
      <c r="K42" s="7"/>
      <c r="L42" s="141"/>
      <c r="M42" s="140"/>
      <c r="R42" s="351"/>
    </row>
    <row r="43" spans="1:18" x14ac:dyDescent="0.25">
      <c r="A43" s="171"/>
      <c r="B43" s="171" t="s">
        <v>66</v>
      </c>
      <c r="C43" s="171"/>
      <c r="D43" s="171"/>
      <c r="E43" s="172"/>
      <c r="F43" s="173"/>
      <c r="G43" s="173"/>
      <c r="H43" s="173"/>
      <c r="I43" s="173"/>
      <c r="J43" s="173"/>
      <c r="K43" s="173"/>
      <c r="L43" s="173"/>
      <c r="M43" s="173"/>
      <c r="N43" s="172"/>
      <c r="O43" s="172"/>
      <c r="P43" s="172"/>
      <c r="Q43" s="172"/>
    </row>
    <row r="44" spans="1:18" x14ac:dyDescent="0.25">
      <c r="A44" s="74">
        <v>9257024</v>
      </c>
      <c r="B44" t="s">
        <v>875</v>
      </c>
      <c r="C44" s="101" t="s">
        <v>305</v>
      </c>
      <c r="D44" s="101" t="s">
        <v>346</v>
      </c>
      <c r="E44" s="37">
        <v>65.595540699382894</v>
      </c>
      <c r="F44" s="548">
        <v>7.0773092369477926</v>
      </c>
      <c r="G44" s="548">
        <v>33.619918699186996</v>
      </c>
      <c r="H44" s="548">
        <v>1.0110441767068277</v>
      </c>
      <c r="I44" s="548">
        <v>10.877032520325205</v>
      </c>
      <c r="J44" s="548">
        <v>7.0773092369477926</v>
      </c>
      <c r="K44" s="548">
        <v>5.9329268292682933</v>
      </c>
      <c r="L44" s="37">
        <v>0</v>
      </c>
      <c r="N44" s="7"/>
      <c r="O44" s="140">
        <v>21452.798486354863</v>
      </c>
      <c r="R44" s="351"/>
    </row>
    <row r="45" spans="1:18" x14ac:dyDescent="0.25">
      <c r="A45" s="74">
        <v>9257024</v>
      </c>
      <c r="B45" t="s">
        <v>801</v>
      </c>
      <c r="C45" s="101" t="s">
        <v>306</v>
      </c>
      <c r="D45" t="s">
        <v>801</v>
      </c>
      <c r="E45" s="37">
        <v>86.333333333333343</v>
      </c>
      <c r="F45" s="555">
        <v>6.166666666666667</v>
      </c>
      <c r="G45" s="555">
        <v>44.194444444444443</v>
      </c>
      <c r="H45" s="555">
        <v>2.0555555555555558</v>
      </c>
      <c r="I45" s="555">
        <v>15.416666666666668</v>
      </c>
      <c r="J45" s="555">
        <v>7.1944444444444446</v>
      </c>
      <c r="K45" s="555">
        <v>6.166666666666667</v>
      </c>
      <c r="L45" s="177">
        <v>5.1388888888888893</v>
      </c>
      <c r="N45" s="7"/>
      <c r="R45" s="351"/>
    </row>
    <row r="46" spans="1:18" x14ac:dyDescent="0.25">
      <c r="A46" s="74">
        <v>9257024</v>
      </c>
      <c r="B46" t="s">
        <v>802</v>
      </c>
      <c r="F46" s="170">
        <v>-0.91064257028112561</v>
      </c>
      <c r="G46" s="170">
        <v>10.574525745257446</v>
      </c>
      <c r="H46" s="170">
        <v>1.0445113788487281</v>
      </c>
      <c r="I46" s="170">
        <v>4.5396341463414629</v>
      </c>
      <c r="J46" s="170">
        <v>0.11713520749665207</v>
      </c>
      <c r="K46" s="170">
        <v>0.23373983739837367</v>
      </c>
      <c r="R46" s="351"/>
    </row>
    <row r="47" spans="1:18" x14ac:dyDescent="0.25">
      <c r="A47" s="74">
        <v>9257024</v>
      </c>
      <c r="B47" t="s">
        <v>803</v>
      </c>
      <c r="C47" s="101" t="s">
        <v>349</v>
      </c>
      <c r="D47" s="101" t="s">
        <v>346</v>
      </c>
      <c r="F47" s="549">
        <v>6.166666666666667</v>
      </c>
      <c r="G47" s="549">
        <v>33.619918699186996</v>
      </c>
      <c r="H47" s="549">
        <v>1.0110441767068277</v>
      </c>
      <c r="I47" s="549">
        <v>10.877032520325205</v>
      </c>
      <c r="J47" s="549">
        <v>7.0773092369477926</v>
      </c>
      <c r="K47" s="549">
        <v>5.9329268292682933</v>
      </c>
      <c r="L47" s="37"/>
      <c r="M47" s="7"/>
      <c r="O47" s="7"/>
      <c r="P47" s="7"/>
      <c r="R47" s="351"/>
    </row>
    <row r="48" spans="1:18" x14ac:dyDescent="0.25">
      <c r="A48" s="74"/>
      <c r="B48" t="s">
        <v>364</v>
      </c>
      <c r="C48" s="101" t="s">
        <v>305</v>
      </c>
      <c r="D48" s="101" t="s">
        <v>351</v>
      </c>
      <c r="F48" s="140">
        <v>407.59417380865347</v>
      </c>
      <c r="G48" s="140">
        <v>395.85183938361706</v>
      </c>
      <c r="H48" s="140">
        <v>254.9438262831809</v>
      </c>
      <c r="I48" s="140">
        <v>202.1033213705177</v>
      </c>
      <c r="J48" s="140">
        <v>202.10332137051776</v>
      </c>
      <c r="K48" s="140">
        <v>231.45915743310795</v>
      </c>
      <c r="L48" s="37"/>
      <c r="M48" s="7"/>
      <c r="O48" s="7"/>
      <c r="P48" s="7"/>
      <c r="R48" s="351"/>
    </row>
    <row r="49" spans="1:18" x14ac:dyDescent="0.25">
      <c r="A49" s="74">
        <v>9257024</v>
      </c>
      <c r="B49" t="s">
        <v>804</v>
      </c>
      <c r="C49" s="101" t="s">
        <v>353</v>
      </c>
      <c r="D49" s="101" t="s">
        <v>354</v>
      </c>
      <c r="F49" s="550">
        <v>150.01676778686306</v>
      </c>
      <c r="G49" s="550">
        <v>180.02012134423603</v>
      </c>
      <c r="H49" s="550">
        <v>418.69476201554426</v>
      </c>
      <c r="I49" s="550">
        <v>429.59609436588289</v>
      </c>
      <c r="J49" s="550">
        <v>429.59609436588289</v>
      </c>
      <c r="K49" s="550">
        <v>436.41416403078438</v>
      </c>
      <c r="L49" s="37"/>
      <c r="M49" s="7"/>
      <c r="R49" s="351"/>
    </row>
    <row r="50" spans="1:18" x14ac:dyDescent="0.25">
      <c r="A50" s="74"/>
      <c r="B50" t="s">
        <v>365</v>
      </c>
      <c r="C50" s="101" t="s">
        <v>306</v>
      </c>
      <c r="D50" s="101" t="s">
        <v>351</v>
      </c>
      <c r="F50" s="550">
        <v>257.57740602179041</v>
      </c>
      <c r="G50" s="550">
        <v>215.83171803938103</v>
      </c>
      <c r="H50" s="550">
        <v>0</v>
      </c>
      <c r="I50" s="550">
        <v>0</v>
      </c>
      <c r="J50" s="550">
        <v>0</v>
      </c>
      <c r="K50" s="550">
        <v>0</v>
      </c>
      <c r="L50" s="37"/>
      <c r="M50" s="7"/>
      <c r="R50" s="351"/>
    </row>
    <row r="51" spans="1:18" x14ac:dyDescent="0.25">
      <c r="A51" s="74">
        <v>9257024</v>
      </c>
      <c r="B51" t="s">
        <v>805</v>
      </c>
      <c r="C51" s="101" t="s">
        <v>357</v>
      </c>
      <c r="D51" s="101" t="s">
        <v>217</v>
      </c>
      <c r="F51" s="7">
        <v>1588.394003801041</v>
      </c>
      <c r="G51" s="7">
        <v>7256.2448131898418</v>
      </c>
      <c r="H51" s="7">
        <v>0</v>
      </c>
      <c r="I51" s="7">
        <v>0</v>
      </c>
      <c r="J51" s="7">
        <v>0</v>
      </c>
      <c r="K51" s="7">
        <v>0</v>
      </c>
      <c r="L51" s="141">
        <v>8844.6388169908823</v>
      </c>
      <c r="M51" s="140">
        <v>-12608.15966936398</v>
      </c>
      <c r="R51" s="351"/>
    </row>
    <row r="52" spans="1:18" x14ac:dyDescent="0.25">
      <c r="A52" s="78"/>
      <c r="C52" s="101"/>
      <c r="D52" s="101" t="s">
        <v>401</v>
      </c>
      <c r="F52" s="670">
        <v>6.166666666666667</v>
      </c>
      <c r="G52" s="670">
        <v>33.619918699186996</v>
      </c>
      <c r="H52" s="670">
        <v>0</v>
      </c>
      <c r="I52" s="670">
        <v>0</v>
      </c>
      <c r="J52" s="670">
        <v>0</v>
      </c>
      <c r="K52" s="670">
        <v>0</v>
      </c>
      <c r="L52" s="7"/>
      <c r="M52" s="7"/>
      <c r="R52" s="351"/>
    </row>
    <row r="53" spans="1:18" x14ac:dyDescent="0.25">
      <c r="A53" s="171"/>
      <c r="B53" s="171" t="s">
        <v>84</v>
      </c>
      <c r="C53" s="171"/>
      <c r="D53" s="171"/>
      <c r="E53" s="172"/>
      <c r="F53" s="173"/>
      <c r="G53" s="173"/>
      <c r="H53" s="173"/>
      <c r="I53" s="173"/>
      <c r="J53" s="173"/>
      <c r="K53" s="173"/>
      <c r="L53" s="173"/>
      <c r="M53" s="173"/>
      <c r="N53" s="172"/>
      <c r="O53" s="172"/>
      <c r="P53" s="172"/>
      <c r="Q53" s="172"/>
    </row>
    <row r="54" spans="1:18" x14ac:dyDescent="0.25">
      <c r="A54" s="74">
        <v>9257031</v>
      </c>
      <c r="B54" t="s">
        <v>876</v>
      </c>
      <c r="C54" s="101" t="s">
        <v>305</v>
      </c>
      <c r="D54" s="101" t="s">
        <v>346</v>
      </c>
      <c r="E54" s="37">
        <v>73.75</v>
      </c>
      <c r="F54" s="548">
        <v>0</v>
      </c>
      <c r="G54" s="548">
        <v>0</v>
      </c>
      <c r="H54" s="548">
        <v>73.75</v>
      </c>
      <c r="I54" s="548">
        <v>0</v>
      </c>
      <c r="J54" s="548">
        <v>0</v>
      </c>
      <c r="K54" s="548">
        <v>0</v>
      </c>
      <c r="L54" s="37">
        <v>0</v>
      </c>
      <c r="N54" s="7"/>
      <c r="O54" s="140">
        <v>17799.737007142194</v>
      </c>
      <c r="R54" s="351"/>
    </row>
    <row r="55" spans="1:18" x14ac:dyDescent="0.25">
      <c r="A55" s="74">
        <v>9257031</v>
      </c>
      <c r="B55" t="s">
        <v>806</v>
      </c>
      <c r="C55" s="101" t="s">
        <v>306</v>
      </c>
      <c r="D55" t="s">
        <v>806</v>
      </c>
      <c r="E55" s="37">
        <v>80.416666666666671</v>
      </c>
      <c r="F55" s="549">
        <v>0</v>
      </c>
      <c r="G55" s="549">
        <v>0</v>
      </c>
      <c r="H55" s="549">
        <v>80.416666666666671</v>
      </c>
      <c r="I55" s="549">
        <v>0</v>
      </c>
      <c r="J55" s="549">
        <v>0</v>
      </c>
      <c r="K55" s="549">
        <v>0</v>
      </c>
      <c r="L55" s="169">
        <v>0</v>
      </c>
      <c r="N55" s="7"/>
      <c r="R55" s="351"/>
    </row>
    <row r="56" spans="1:18" x14ac:dyDescent="0.25">
      <c r="A56" s="74">
        <v>9257031</v>
      </c>
      <c r="B56" t="s">
        <v>807</v>
      </c>
      <c r="F56" s="170">
        <v>0</v>
      </c>
      <c r="G56" s="170">
        <v>0</v>
      </c>
      <c r="H56" s="170">
        <v>6.6666666666666714</v>
      </c>
      <c r="I56" s="170">
        <v>0</v>
      </c>
      <c r="J56" s="170">
        <v>0</v>
      </c>
      <c r="K56" s="170">
        <v>0</v>
      </c>
      <c r="R56" s="351"/>
    </row>
    <row r="57" spans="1:18" x14ac:dyDescent="0.25">
      <c r="A57" s="74">
        <v>9257031</v>
      </c>
      <c r="B57" t="s">
        <v>808</v>
      </c>
      <c r="C57" s="101" t="s">
        <v>349</v>
      </c>
      <c r="D57" s="101" t="s">
        <v>346</v>
      </c>
      <c r="F57" s="549">
        <v>0</v>
      </c>
      <c r="G57" s="549">
        <v>0</v>
      </c>
      <c r="H57" s="549">
        <v>73.75</v>
      </c>
      <c r="I57" s="549">
        <v>0</v>
      </c>
      <c r="J57" s="549">
        <v>0</v>
      </c>
      <c r="K57" s="549">
        <v>0</v>
      </c>
      <c r="L57" s="37"/>
      <c r="M57" s="7"/>
      <c r="O57" s="7"/>
      <c r="P57" s="7"/>
      <c r="R57" s="351"/>
    </row>
    <row r="58" spans="1:18" x14ac:dyDescent="0.25">
      <c r="A58" s="74"/>
      <c r="B58" t="s">
        <v>366</v>
      </c>
      <c r="C58" s="101" t="s">
        <v>305</v>
      </c>
      <c r="D58" s="101" t="s">
        <v>351</v>
      </c>
      <c r="F58" s="140">
        <v>0</v>
      </c>
      <c r="G58" s="140">
        <v>0</v>
      </c>
      <c r="H58" s="140">
        <v>241.35236619853822</v>
      </c>
      <c r="I58" s="140">
        <v>0</v>
      </c>
      <c r="J58" s="140">
        <v>0</v>
      </c>
      <c r="K58" s="140">
        <v>0</v>
      </c>
      <c r="L58" s="37"/>
      <c r="M58" s="7"/>
      <c r="O58" s="7"/>
      <c r="P58" s="7"/>
      <c r="R58" s="351"/>
    </row>
    <row r="59" spans="1:18" x14ac:dyDescent="0.25">
      <c r="A59" s="74">
        <v>9257031</v>
      </c>
      <c r="B59" t="s">
        <v>809</v>
      </c>
      <c r="C59" s="101" t="s">
        <v>353</v>
      </c>
      <c r="D59" s="101" t="s">
        <v>354</v>
      </c>
      <c r="F59" s="550">
        <v>150.01676778686306</v>
      </c>
      <c r="G59" s="550">
        <v>180.02012134423603</v>
      </c>
      <c r="H59" s="550">
        <v>418.69476201554426</v>
      </c>
      <c r="I59" s="550">
        <v>429.59609436588289</v>
      </c>
      <c r="J59" s="550">
        <v>429.59609436588289</v>
      </c>
      <c r="K59" s="550">
        <v>436.41416403078438</v>
      </c>
      <c r="L59" s="37"/>
      <c r="M59" s="7"/>
      <c r="R59" s="351"/>
    </row>
    <row r="60" spans="1:18" x14ac:dyDescent="0.25">
      <c r="A60" s="74"/>
      <c r="B60" t="s">
        <v>367</v>
      </c>
      <c r="C60" s="101" t="s">
        <v>306</v>
      </c>
      <c r="D60" s="101" t="s">
        <v>351</v>
      </c>
      <c r="F60" s="550">
        <v>0</v>
      </c>
      <c r="G60" s="550">
        <v>0</v>
      </c>
      <c r="H60" s="550">
        <v>0</v>
      </c>
      <c r="I60" s="550">
        <v>0</v>
      </c>
      <c r="J60" s="550">
        <v>0</v>
      </c>
      <c r="K60" s="550">
        <v>0</v>
      </c>
      <c r="L60" s="37"/>
      <c r="M60" s="7"/>
      <c r="R60" s="351"/>
    </row>
    <row r="61" spans="1:18" x14ac:dyDescent="0.25">
      <c r="A61" s="74">
        <v>9257031</v>
      </c>
      <c r="B61" t="s">
        <v>810</v>
      </c>
      <c r="C61" s="101" t="s">
        <v>357</v>
      </c>
      <c r="D61" s="101" t="s">
        <v>217</v>
      </c>
      <c r="F61" s="7">
        <v>0</v>
      </c>
      <c r="G61" s="7">
        <v>0</v>
      </c>
      <c r="H61" s="7">
        <v>0</v>
      </c>
      <c r="I61" s="7">
        <v>0</v>
      </c>
      <c r="J61" s="7">
        <v>0</v>
      </c>
      <c r="K61" s="7">
        <v>0</v>
      </c>
      <c r="L61" s="141">
        <v>0</v>
      </c>
      <c r="M61" s="140">
        <v>-17799.737007142194</v>
      </c>
      <c r="R61" s="351"/>
    </row>
    <row r="62" spans="1:18" x14ac:dyDescent="0.25">
      <c r="A62" s="78"/>
      <c r="C62" s="101"/>
      <c r="D62" s="101" t="s">
        <v>401</v>
      </c>
      <c r="F62" s="670">
        <v>0</v>
      </c>
      <c r="G62" s="670">
        <v>0</v>
      </c>
      <c r="H62" s="670">
        <v>0</v>
      </c>
      <c r="I62" s="670">
        <v>0</v>
      </c>
      <c r="J62" s="670">
        <v>0</v>
      </c>
      <c r="K62" s="670">
        <v>0</v>
      </c>
      <c r="L62" s="7"/>
      <c r="M62" s="7"/>
      <c r="R62" s="351"/>
    </row>
    <row r="63" spans="1:18" x14ac:dyDescent="0.25">
      <c r="A63" s="171"/>
      <c r="B63" s="171" t="s">
        <v>74</v>
      </c>
      <c r="C63" s="171"/>
      <c r="D63" s="171"/>
      <c r="E63" s="172"/>
      <c r="F63" s="173"/>
      <c r="G63" s="173"/>
      <c r="H63" s="173"/>
      <c r="I63" s="173"/>
      <c r="J63" s="173"/>
      <c r="K63" s="173"/>
      <c r="L63" s="173"/>
      <c r="M63" s="173"/>
      <c r="N63" s="172"/>
      <c r="O63" s="172"/>
      <c r="P63" s="172"/>
      <c r="Q63" s="172"/>
    </row>
    <row r="64" spans="1:18" x14ac:dyDescent="0.25">
      <c r="A64" s="74">
        <v>9257033</v>
      </c>
      <c r="B64" t="s">
        <v>877</v>
      </c>
      <c r="C64" s="101" t="s">
        <v>305</v>
      </c>
      <c r="D64" s="101" t="s">
        <v>346</v>
      </c>
      <c r="E64" s="37">
        <v>0</v>
      </c>
      <c r="F64" s="548">
        <v>0</v>
      </c>
      <c r="G64" s="548">
        <v>0</v>
      </c>
      <c r="H64" s="548">
        <v>0</v>
      </c>
      <c r="I64" s="548">
        <v>0</v>
      </c>
      <c r="J64" s="548">
        <v>0</v>
      </c>
      <c r="K64" s="548">
        <v>0</v>
      </c>
      <c r="L64" s="37">
        <v>0</v>
      </c>
      <c r="N64" s="7"/>
      <c r="O64" s="140">
        <v>0</v>
      </c>
      <c r="R64" s="351"/>
    </row>
    <row r="65" spans="1:18" x14ac:dyDescent="0.25">
      <c r="A65" s="74">
        <v>9257033</v>
      </c>
      <c r="B65" t="s">
        <v>811</v>
      </c>
      <c r="C65" s="101" t="s">
        <v>306</v>
      </c>
      <c r="D65" t="s">
        <v>811</v>
      </c>
      <c r="E65" s="37">
        <v>106.16666666666669</v>
      </c>
      <c r="F65" s="549">
        <v>14.745370370370374</v>
      </c>
      <c r="G65" s="549">
        <v>66.845679012345698</v>
      </c>
      <c r="H65" s="549">
        <v>4.9151234567901243</v>
      </c>
      <c r="I65" s="549">
        <v>10.813271604938272</v>
      </c>
      <c r="J65" s="549">
        <v>3.9320987654320994</v>
      </c>
      <c r="K65" s="549">
        <v>3.9320987654320994</v>
      </c>
      <c r="L65" s="169">
        <v>0.98302469135802484</v>
      </c>
      <c r="N65" s="7"/>
      <c r="R65" s="351"/>
    </row>
    <row r="66" spans="1:18" x14ac:dyDescent="0.25">
      <c r="A66" s="74">
        <v>9257033</v>
      </c>
      <c r="B66" t="s">
        <v>812</v>
      </c>
      <c r="F66" s="170">
        <v>14.745370370370374</v>
      </c>
      <c r="G66" s="170">
        <v>66.845679012345698</v>
      </c>
      <c r="H66" s="170">
        <v>4.9151234567901243</v>
      </c>
      <c r="I66" s="170">
        <v>10.813271604938272</v>
      </c>
      <c r="J66" s="170">
        <v>3.9320987654320994</v>
      </c>
      <c r="K66" s="170">
        <v>3.9320987654320994</v>
      </c>
      <c r="R66" s="351"/>
    </row>
    <row r="67" spans="1:18" x14ac:dyDescent="0.25">
      <c r="A67" s="74">
        <v>9257033</v>
      </c>
      <c r="B67" t="s">
        <v>813</v>
      </c>
      <c r="C67" s="101" t="s">
        <v>349</v>
      </c>
      <c r="D67" s="101" t="s">
        <v>346</v>
      </c>
      <c r="F67" s="549">
        <v>0</v>
      </c>
      <c r="G67" s="549">
        <v>0</v>
      </c>
      <c r="H67" s="549">
        <v>0</v>
      </c>
      <c r="I67" s="549">
        <v>0</v>
      </c>
      <c r="J67" s="549">
        <v>0</v>
      </c>
      <c r="K67" s="549">
        <v>0</v>
      </c>
      <c r="L67" s="37"/>
      <c r="M67" s="7"/>
      <c r="O67" s="7"/>
      <c r="P67" s="7"/>
      <c r="R67" s="351"/>
    </row>
    <row r="68" spans="1:18" x14ac:dyDescent="0.25">
      <c r="A68" s="74"/>
      <c r="B68" t="s">
        <v>368</v>
      </c>
      <c r="C68" s="101" t="s">
        <v>305</v>
      </c>
      <c r="D68" s="101" t="s">
        <v>351</v>
      </c>
      <c r="F68" s="140">
        <v>0</v>
      </c>
      <c r="G68" s="140">
        <v>0</v>
      </c>
      <c r="H68" s="140">
        <v>0</v>
      </c>
      <c r="I68" s="140">
        <v>0</v>
      </c>
      <c r="J68" s="140">
        <v>0</v>
      </c>
      <c r="K68" s="140">
        <v>0</v>
      </c>
      <c r="L68" s="37"/>
      <c r="M68" s="7"/>
      <c r="O68" s="7"/>
      <c r="P68" s="7"/>
      <c r="R68" s="351"/>
    </row>
    <row r="69" spans="1:18" x14ac:dyDescent="0.25">
      <c r="A69" s="74">
        <v>9257033</v>
      </c>
      <c r="B69" t="s">
        <v>814</v>
      </c>
      <c r="C69" s="101" t="s">
        <v>353</v>
      </c>
      <c r="D69" s="101" t="s">
        <v>354</v>
      </c>
      <c r="F69" s="550">
        <v>150.01676778686306</v>
      </c>
      <c r="G69" s="550">
        <v>180.02012134423603</v>
      </c>
      <c r="H69" s="550">
        <v>418.69476201554426</v>
      </c>
      <c r="I69" s="550">
        <v>429.59609436588289</v>
      </c>
      <c r="J69" s="550">
        <v>429.59609436588289</v>
      </c>
      <c r="K69" s="550">
        <v>436.41416403078438</v>
      </c>
      <c r="L69" s="37"/>
      <c r="M69" s="7"/>
      <c r="R69" s="351"/>
    </row>
    <row r="70" spans="1:18" x14ac:dyDescent="0.25">
      <c r="A70" s="74"/>
      <c r="B70" t="s">
        <v>369</v>
      </c>
      <c r="C70" s="101" t="s">
        <v>306</v>
      </c>
      <c r="D70" s="101" t="s">
        <v>351</v>
      </c>
      <c r="F70" s="550">
        <v>0</v>
      </c>
      <c r="G70" s="550">
        <v>0</v>
      </c>
      <c r="H70" s="550">
        <v>0</v>
      </c>
      <c r="I70" s="550">
        <v>0</v>
      </c>
      <c r="J70" s="550">
        <v>0</v>
      </c>
      <c r="K70" s="550">
        <v>0</v>
      </c>
      <c r="L70" s="37"/>
      <c r="M70" s="7"/>
      <c r="R70" s="351"/>
    </row>
    <row r="71" spans="1:18" x14ac:dyDescent="0.25">
      <c r="A71" s="74">
        <v>9257033</v>
      </c>
      <c r="B71" t="s">
        <v>815</v>
      </c>
      <c r="C71" s="101" t="s">
        <v>357</v>
      </c>
      <c r="D71" s="101" t="s">
        <v>217</v>
      </c>
      <c r="F71" s="7">
        <v>0</v>
      </c>
      <c r="G71" s="7">
        <v>0</v>
      </c>
      <c r="H71" s="7">
        <v>0</v>
      </c>
      <c r="I71" s="7">
        <v>0</v>
      </c>
      <c r="J71" s="7">
        <v>0</v>
      </c>
      <c r="K71" s="7">
        <v>0</v>
      </c>
      <c r="L71" s="141">
        <v>0</v>
      </c>
      <c r="M71" s="140">
        <v>0</v>
      </c>
      <c r="R71" s="351"/>
    </row>
    <row r="72" spans="1:18" x14ac:dyDescent="0.25">
      <c r="A72" s="78"/>
      <c r="C72" s="101"/>
      <c r="D72" s="101" t="s">
        <v>401</v>
      </c>
      <c r="F72" s="670">
        <v>0</v>
      </c>
      <c r="G72" s="670">
        <v>0</v>
      </c>
      <c r="H72" s="670">
        <v>0</v>
      </c>
      <c r="I72" s="670">
        <v>0</v>
      </c>
      <c r="J72" s="670">
        <v>0</v>
      </c>
      <c r="K72" s="670">
        <v>0</v>
      </c>
      <c r="L72" s="7"/>
      <c r="M72" s="7"/>
      <c r="R72" s="351"/>
    </row>
    <row r="73" spans="1:18" x14ac:dyDescent="0.25">
      <c r="A73" s="171"/>
      <c r="B73" s="171" t="s">
        <v>67</v>
      </c>
      <c r="C73" s="171"/>
      <c r="D73" s="171"/>
      <c r="E73" s="172"/>
      <c r="F73" s="173"/>
      <c r="G73" s="173"/>
      <c r="H73" s="173"/>
      <c r="I73" s="173"/>
      <c r="J73" s="173"/>
      <c r="K73" s="173"/>
      <c r="L73" s="173"/>
      <c r="M73" s="173"/>
      <c r="N73" s="172"/>
      <c r="O73" s="172"/>
      <c r="P73" s="172"/>
      <c r="Q73" s="172"/>
    </row>
    <row r="74" spans="1:18" x14ac:dyDescent="0.25">
      <c r="A74" s="74">
        <v>9257008</v>
      </c>
      <c r="B74" t="s">
        <v>878</v>
      </c>
      <c r="C74" s="101" t="s">
        <v>305</v>
      </c>
      <c r="D74" s="101" t="s">
        <v>346</v>
      </c>
      <c r="E74" s="37">
        <v>0</v>
      </c>
      <c r="F74" s="548">
        <v>0</v>
      </c>
      <c r="G74" s="548">
        <v>0</v>
      </c>
      <c r="H74" s="548">
        <v>0</v>
      </c>
      <c r="I74" s="548">
        <v>0</v>
      </c>
      <c r="J74" s="548">
        <v>0</v>
      </c>
      <c r="K74" s="548">
        <v>0</v>
      </c>
      <c r="L74" s="37">
        <v>0</v>
      </c>
      <c r="N74" s="7"/>
      <c r="O74" s="140">
        <v>0</v>
      </c>
      <c r="R74" s="351"/>
    </row>
    <row r="75" spans="1:18" x14ac:dyDescent="0.25">
      <c r="A75" s="74">
        <v>9257008</v>
      </c>
      <c r="B75" t="s">
        <v>816</v>
      </c>
      <c r="C75" s="101" t="s">
        <v>306</v>
      </c>
      <c r="D75" t="s">
        <v>816</v>
      </c>
      <c r="E75" s="37">
        <v>100.16666666666667</v>
      </c>
      <c r="F75" s="549">
        <v>11.018333333333334</v>
      </c>
      <c r="G75" s="549">
        <v>64.106666666666669</v>
      </c>
      <c r="H75" s="549">
        <v>7.0116666666666676</v>
      </c>
      <c r="I75" s="549">
        <v>9.0150000000000006</v>
      </c>
      <c r="J75" s="549">
        <v>0</v>
      </c>
      <c r="K75" s="549">
        <v>9.0150000000000006</v>
      </c>
      <c r="L75" s="169">
        <v>0</v>
      </c>
      <c r="N75" s="7"/>
      <c r="R75" s="351"/>
    </row>
    <row r="76" spans="1:18" x14ac:dyDescent="0.25">
      <c r="A76" s="74">
        <v>9257008</v>
      </c>
      <c r="B76" t="s">
        <v>817</v>
      </c>
      <c r="F76" s="170">
        <v>11.018333333333334</v>
      </c>
      <c r="G76" s="170">
        <v>64.106666666666669</v>
      </c>
      <c r="H76" s="170">
        <v>7.0116666666666676</v>
      </c>
      <c r="I76" s="170">
        <v>9.0150000000000006</v>
      </c>
      <c r="J76" s="170">
        <v>0</v>
      </c>
      <c r="K76" s="170">
        <v>9.0150000000000006</v>
      </c>
      <c r="R76" s="351"/>
    </row>
    <row r="77" spans="1:18" x14ac:dyDescent="0.25">
      <c r="A77" s="74">
        <v>9257008</v>
      </c>
      <c r="B77" t="s">
        <v>818</v>
      </c>
      <c r="C77" s="101" t="s">
        <v>349</v>
      </c>
      <c r="D77" s="101" t="s">
        <v>346</v>
      </c>
      <c r="F77" s="549">
        <v>0</v>
      </c>
      <c r="G77" s="549">
        <v>0</v>
      </c>
      <c r="H77" s="549">
        <v>0</v>
      </c>
      <c r="I77" s="549">
        <v>0</v>
      </c>
      <c r="J77" s="549">
        <v>0</v>
      </c>
      <c r="K77" s="549">
        <v>0</v>
      </c>
      <c r="L77" s="37"/>
      <c r="M77" s="7"/>
      <c r="O77" s="7"/>
      <c r="P77" s="7"/>
      <c r="R77" s="351"/>
    </row>
    <row r="78" spans="1:18" x14ac:dyDescent="0.25">
      <c r="A78" s="74"/>
      <c r="B78" t="s">
        <v>370</v>
      </c>
      <c r="C78" s="101" t="s">
        <v>305</v>
      </c>
      <c r="D78" s="101" t="s">
        <v>351</v>
      </c>
      <c r="F78" s="140">
        <v>0</v>
      </c>
      <c r="G78" s="140">
        <v>0</v>
      </c>
      <c r="H78" s="140">
        <v>0</v>
      </c>
      <c r="I78" s="140">
        <v>0</v>
      </c>
      <c r="J78" s="140">
        <v>0</v>
      </c>
      <c r="K78" s="140">
        <v>0</v>
      </c>
      <c r="L78" s="37"/>
      <c r="M78" s="7"/>
      <c r="O78" s="7"/>
      <c r="P78" s="7"/>
      <c r="R78" s="351"/>
    </row>
    <row r="79" spans="1:18" x14ac:dyDescent="0.25">
      <c r="A79" s="74">
        <v>9257008</v>
      </c>
      <c r="B79" t="s">
        <v>819</v>
      </c>
      <c r="C79" s="101" t="s">
        <v>353</v>
      </c>
      <c r="D79" s="101" t="s">
        <v>354</v>
      </c>
      <c r="F79" s="550">
        <v>150.01676778686306</v>
      </c>
      <c r="G79" s="550">
        <v>180.02012134423603</v>
      </c>
      <c r="H79" s="550">
        <v>418.69476201554426</v>
      </c>
      <c r="I79" s="550">
        <v>429.59609436588289</v>
      </c>
      <c r="J79" s="550">
        <v>429.59609436588289</v>
      </c>
      <c r="K79" s="550">
        <v>436.41416403078438</v>
      </c>
      <c r="L79" s="37"/>
      <c r="M79" s="7"/>
      <c r="R79" s="351"/>
    </row>
    <row r="80" spans="1:18" x14ac:dyDescent="0.25">
      <c r="A80" s="74"/>
      <c r="B80" t="s">
        <v>371</v>
      </c>
      <c r="C80" s="101" t="s">
        <v>306</v>
      </c>
      <c r="D80" s="101" t="s">
        <v>351</v>
      </c>
      <c r="F80" s="550">
        <v>0</v>
      </c>
      <c r="G80" s="550">
        <v>0</v>
      </c>
      <c r="H80" s="550">
        <v>0</v>
      </c>
      <c r="I80" s="550">
        <v>0</v>
      </c>
      <c r="J80" s="550">
        <v>0</v>
      </c>
      <c r="K80" s="550">
        <v>0</v>
      </c>
      <c r="L80" s="37"/>
      <c r="M80" s="7"/>
      <c r="R80" s="351"/>
    </row>
    <row r="81" spans="1:18" x14ac:dyDescent="0.25">
      <c r="A81" s="74">
        <v>9257008</v>
      </c>
      <c r="B81" t="s">
        <v>820</v>
      </c>
      <c r="C81" s="101" t="s">
        <v>357</v>
      </c>
      <c r="D81" s="101" t="s">
        <v>217</v>
      </c>
      <c r="F81" s="7">
        <v>0</v>
      </c>
      <c r="G81" s="7">
        <v>0</v>
      </c>
      <c r="H81" s="7">
        <v>0</v>
      </c>
      <c r="I81" s="7">
        <v>0</v>
      </c>
      <c r="J81" s="7">
        <v>0</v>
      </c>
      <c r="K81" s="7">
        <v>0</v>
      </c>
      <c r="L81" s="141">
        <v>0</v>
      </c>
      <c r="M81" s="140">
        <v>0</v>
      </c>
      <c r="R81" s="351"/>
    </row>
    <row r="82" spans="1:18" x14ac:dyDescent="0.25">
      <c r="A82" s="78"/>
      <c r="C82" s="101"/>
      <c r="D82" s="101" t="s">
        <v>401</v>
      </c>
      <c r="F82" s="670">
        <v>0</v>
      </c>
      <c r="G82" s="670">
        <v>0</v>
      </c>
      <c r="H82" s="670">
        <v>0</v>
      </c>
      <c r="I82" s="670">
        <v>0</v>
      </c>
      <c r="J82" s="670">
        <v>0</v>
      </c>
      <c r="K82" s="670">
        <v>0</v>
      </c>
      <c r="L82" s="7"/>
      <c r="M82" s="7"/>
      <c r="R82" s="351"/>
    </row>
    <row r="83" spans="1:18" x14ac:dyDescent="0.25">
      <c r="A83" s="171"/>
      <c r="B83" s="171" t="s">
        <v>75</v>
      </c>
      <c r="C83" s="171"/>
      <c r="D83" s="171"/>
      <c r="E83" s="172"/>
      <c r="F83" s="173"/>
      <c r="G83" s="173"/>
      <c r="H83" s="173"/>
      <c r="I83" s="173"/>
      <c r="J83" s="173"/>
      <c r="K83" s="173"/>
      <c r="L83" s="173"/>
      <c r="M83" s="173"/>
      <c r="N83" s="172"/>
      <c r="O83" s="172"/>
      <c r="P83" s="172"/>
      <c r="Q83" s="172"/>
    </row>
    <row r="84" spans="1:18" x14ac:dyDescent="0.25">
      <c r="A84" s="74">
        <v>9257034</v>
      </c>
      <c r="B84" t="s">
        <v>879</v>
      </c>
      <c r="C84" s="101" t="s">
        <v>305</v>
      </c>
      <c r="D84" s="101" t="s">
        <v>346</v>
      </c>
      <c r="E84" s="37">
        <v>110.66917688792691</v>
      </c>
      <c r="F84" s="549">
        <v>48.923363095238102</v>
      </c>
      <c r="G84" s="549">
        <v>31.227678571428569</v>
      </c>
      <c r="H84" s="549">
        <v>17.417508417508415</v>
      </c>
      <c r="I84" s="549">
        <v>3.7323232323232323</v>
      </c>
      <c r="J84" s="549">
        <v>4.1636904761904763</v>
      </c>
      <c r="K84" s="549">
        <v>5.2046130952380958</v>
      </c>
      <c r="L84" s="169">
        <v>0</v>
      </c>
      <c r="N84" s="7"/>
      <c r="O84" s="140">
        <v>59535.284511571168</v>
      </c>
      <c r="R84" s="351"/>
    </row>
    <row r="85" spans="1:18" x14ac:dyDescent="0.25">
      <c r="A85" s="74">
        <v>9257034</v>
      </c>
      <c r="B85" t="s">
        <v>821</v>
      </c>
      <c r="C85" s="101" t="s">
        <v>306</v>
      </c>
      <c r="D85" t="s">
        <v>821</v>
      </c>
      <c r="E85" s="37">
        <v>122.16666666666667</v>
      </c>
      <c r="F85" s="549">
        <v>54.296296296296298</v>
      </c>
      <c r="G85" s="549">
        <v>39.591049382716051</v>
      </c>
      <c r="H85" s="549">
        <v>11.311728395061728</v>
      </c>
      <c r="I85" s="549">
        <v>5.6558641975308639</v>
      </c>
      <c r="J85" s="549">
        <v>3.3935185185185186</v>
      </c>
      <c r="K85" s="549">
        <v>6.7870370370370372</v>
      </c>
      <c r="L85" s="169">
        <v>1.1311728395061729</v>
      </c>
      <c r="N85" s="7"/>
      <c r="R85" s="351"/>
    </row>
    <row r="86" spans="1:18" x14ac:dyDescent="0.25">
      <c r="A86" s="74">
        <v>9257034</v>
      </c>
      <c r="B86" t="s">
        <v>822</v>
      </c>
      <c r="F86" s="170">
        <v>5.3729332010581956</v>
      </c>
      <c r="G86" s="170">
        <v>8.3633708112874814</v>
      </c>
      <c r="H86" s="170">
        <v>-6.1057800224466874</v>
      </c>
      <c r="I86" s="170">
        <v>1.9235409652076316</v>
      </c>
      <c r="J86" s="170">
        <v>-0.77017195767195767</v>
      </c>
      <c r="K86" s="170">
        <v>1.5824239417989414</v>
      </c>
      <c r="R86" s="351"/>
    </row>
    <row r="87" spans="1:18" x14ac:dyDescent="0.25">
      <c r="A87" s="74">
        <v>9257034</v>
      </c>
      <c r="B87" t="s">
        <v>823</v>
      </c>
      <c r="C87" s="101" t="s">
        <v>349</v>
      </c>
      <c r="D87" s="101" t="s">
        <v>346</v>
      </c>
      <c r="F87" s="549">
        <v>48.923363095238102</v>
      </c>
      <c r="G87" s="549">
        <v>31.227678571428569</v>
      </c>
      <c r="H87" s="549">
        <v>11.311728395061728</v>
      </c>
      <c r="I87" s="549">
        <v>3.7323232323232323</v>
      </c>
      <c r="J87" s="549">
        <v>3.3935185185185186</v>
      </c>
      <c r="K87" s="549">
        <v>5.2046130952380958</v>
      </c>
      <c r="L87" s="37"/>
      <c r="M87" s="7"/>
      <c r="O87" s="7"/>
      <c r="P87" s="7"/>
      <c r="R87" s="351"/>
    </row>
    <row r="88" spans="1:18" x14ac:dyDescent="0.25">
      <c r="A88" s="74"/>
      <c r="B88" t="s">
        <v>372</v>
      </c>
      <c r="C88" s="101" t="s">
        <v>305</v>
      </c>
      <c r="D88" s="101" t="s">
        <v>351</v>
      </c>
      <c r="F88" s="140">
        <v>588.23996076291996</v>
      </c>
      <c r="G88" s="140">
        <v>576.4976263378835</v>
      </c>
      <c r="H88" s="140">
        <v>435.58961323744734</v>
      </c>
      <c r="I88" s="140">
        <v>382.74910832478417</v>
      </c>
      <c r="J88" s="140">
        <v>382.74910832478417</v>
      </c>
      <c r="K88" s="140">
        <v>412.10494438737436</v>
      </c>
      <c r="L88" s="37"/>
      <c r="M88" s="7"/>
      <c r="O88" s="7"/>
      <c r="P88" s="7"/>
      <c r="R88" s="351"/>
    </row>
    <row r="89" spans="1:18" x14ac:dyDescent="0.25">
      <c r="A89" s="74">
        <v>9257034</v>
      </c>
      <c r="B89" t="s">
        <v>824</v>
      </c>
      <c r="C89" s="101" t="s">
        <v>353</v>
      </c>
      <c r="D89" s="101" t="s">
        <v>354</v>
      </c>
      <c r="F89" s="550">
        <v>150.01676778686306</v>
      </c>
      <c r="G89" s="550">
        <v>180.02012134423603</v>
      </c>
      <c r="H89" s="550">
        <v>418.69476201554426</v>
      </c>
      <c r="I89" s="550">
        <v>429.59609436588289</v>
      </c>
      <c r="J89" s="550">
        <v>429.59609436588289</v>
      </c>
      <c r="K89" s="550">
        <v>436.41416403078438</v>
      </c>
      <c r="L89" s="37"/>
      <c r="M89" s="7"/>
      <c r="R89" s="351"/>
    </row>
    <row r="90" spans="1:18" x14ac:dyDescent="0.25">
      <c r="A90" s="74"/>
      <c r="B90" t="s">
        <v>373</v>
      </c>
      <c r="C90" s="101" t="s">
        <v>306</v>
      </c>
      <c r="D90" s="101" t="s">
        <v>351</v>
      </c>
      <c r="F90" s="550">
        <v>438.22319297605691</v>
      </c>
      <c r="G90" s="550">
        <v>396.47750499364747</v>
      </c>
      <c r="H90" s="550">
        <v>16.894851221903082</v>
      </c>
      <c r="I90" s="550">
        <v>0</v>
      </c>
      <c r="J90" s="550">
        <v>0</v>
      </c>
      <c r="K90" s="550">
        <v>0</v>
      </c>
      <c r="L90" s="37"/>
      <c r="M90" s="7"/>
      <c r="R90" s="351"/>
    </row>
    <row r="91" spans="1:18" x14ac:dyDescent="0.25">
      <c r="A91" s="74">
        <v>9257034</v>
      </c>
      <c r="B91" t="s">
        <v>825</v>
      </c>
      <c r="C91" s="101" t="s">
        <v>357</v>
      </c>
      <c r="D91" s="101" t="s">
        <v>217</v>
      </c>
      <c r="F91" s="7">
        <v>21439.352386722228</v>
      </c>
      <c r="G91" s="7">
        <v>12381.072086743588</v>
      </c>
      <c r="H91" s="7">
        <v>191.10996829714441</v>
      </c>
      <c r="I91" s="7">
        <v>0</v>
      </c>
      <c r="J91" s="7">
        <v>0</v>
      </c>
      <c r="K91" s="7">
        <v>0</v>
      </c>
      <c r="L91" s="141">
        <v>34011.53444176296</v>
      </c>
      <c r="M91" s="140">
        <v>-25523.750069808208</v>
      </c>
      <c r="R91" s="351"/>
    </row>
    <row r="92" spans="1:18" x14ac:dyDescent="0.25">
      <c r="A92" s="78"/>
      <c r="C92" s="101"/>
      <c r="D92" s="101" t="s">
        <v>401</v>
      </c>
      <c r="F92" s="670">
        <v>48.923363095238102</v>
      </c>
      <c r="G92" s="670">
        <v>31.227678571428569</v>
      </c>
      <c r="H92" s="670">
        <v>11.311728395061728</v>
      </c>
      <c r="I92" s="670">
        <v>0</v>
      </c>
      <c r="J92" s="670">
        <v>0</v>
      </c>
      <c r="K92" s="670">
        <v>0</v>
      </c>
      <c r="L92" s="7"/>
      <c r="M92" s="7"/>
      <c r="R92" s="351"/>
    </row>
    <row r="93" spans="1:18" x14ac:dyDescent="0.25">
      <c r="A93" s="171"/>
      <c r="B93" s="171" t="s">
        <v>68</v>
      </c>
      <c r="C93" s="171"/>
      <c r="D93" s="171"/>
      <c r="E93" s="172"/>
      <c r="F93" s="173"/>
      <c r="G93" s="173"/>
      <c r="H93" s="173"/>
      <c r="I93" s="173"/>
      <c r="J93" s="173"/>
      <c r="K93" s="173"/>
      <c r="L93" s="173"/>
      <c r="M93" s="173"/>
      <c r="N93" s="172"/>
      <c r="O93" s="172"/>
      <c r="P93" s="172"/>
      <c r="Q93" s="172"/>
    </row>
    <row r="94" spans="1:18" x14ac:dyDescent="0.25">
      <c r="A94" s="74">
        <v>9257002</v>
      </c>
      <c r="B94" t="s">
        <v>880</v>
      </c>
      <c r="C94" s="101" t="s">
        <v>305</v>
      </c>
      <c r="D94" s="101" t="s">
        <v>346</v>
      </c>
      <c r="E94" s="353">
        <v>0</v>
      </c>
      <c r="F94" s="556">
        <v>0</v>
      </c>
      <c r="G94" s="556">
        <v>0</v>
      </c>
      <c r="H94" s="556">
        <v>0</v>
      </c>
      <c r="I94" s="556">
        <v>0</v>
      </c>
      <c r="J94" s="556">
        <v>0</v>
      </c>
      <c r="K94" s="556">
        <v>0</v>
      </c>
      <c r="L94" s="353">
        <v>0</v>
      </c>
      <c r="N94" s="7"/>
      <c r="O94" s="140">
        <v>0</v>
      </c>
      <c r="R94" s="351"/>
    </row>
    <row r="95" spans="1:18" x14ac:dyDescent="0.25">
      <c r="A95" s="74">
        <v>9257002</v>
      </c>
      <c r="B95" t="s">
        <v>826</v>
      </c>
      <c r="C95" s="101" t="s">
        <v>306</v>
      </c>
      <c r="D95" t="s">
        <v>826</v>
      </c>
      <c r="E95" s="37">
        <v>155.66666666666669</v>
      </c>
      <c r="F95" s="549">
        <v>52.23713646532439</v>
      </c>
      <c r="G95" s="549">
        <v>60.59507829977629</v>
      </c>
      <c r="H95" s="549">
        <v>20.894854586129757</v>
      </c>
      <c r="I95" s="549">
        <v>5.2237136465324392</v>
      </c>
      <c r="J95" s="549">
        <v>3.1342281879194633</v>
      </c>
      <c r="K95" s="549">
        <v>11.492170022371367</v>
      </c>
      <c r="L95" s="169">
        <v>2.0894854586129754</v>
      </c>
      <c r="N95" s="7"/>
      <c r="R95" s="351"/>
    </row>
    <row r="96" spans="1:18" x14ac:dyDescent="0.25">
      <c r="A96" s="74">
        <v>9257002</v>
      </c>
      <c r="B96" t="s">
        <v>827</v>
      </c>
      <c r="F96" s="170">
        <v>52.23713646532439</v>
      </c>
      <c r="G96" s="170">
        <v>60.59507829977629</v>
      </c>
      <c r="H96" s="170">
        <v>20.894854586129757</v>
      </c>
      <c r="I96" s="170">
        <v>5.2237136465324392</v>
      </c>
      <c r="J96" s="170">
        <v>3.1342281879194633</v>
      </c>
      <c r="K96" s="170">
        <v>11.492170022371367</v>
      </c>
      <c r="R96" s="351"/>
    </row>
    <row r="97" spans="1:18" x14ac:dyDescent="0.25">
      <c r="A97" s="74">
        <v>9257002</v>
      </c>
      <c r="B97" t="s">
        <v>828</v>
      </c>
      <c r="C97" s="101" t="s">
        <v>349</v>
      </c>
      <c r="D97" s="101" t="s">
        <v>346</v>
      </c>
      <c r="F97" s="549">
        <v>0</v>
      </c>
      <c r="G97" s="549">
        <v>0</v>
      </c>
      <c r="H97" s="549">
        <v>0</v>
      </c>
      <c r="I97" s="549">
        <v>0</v>
      </c>
      <c r="J97" s="549">
        <v>0</v>
      </c>
      <c r="K97" s="549">
        <v>0</v>
      </c>
      <c r="L97" s="37"/>
      <c r="M97" s="7"/>
      <c r="O97" s="7"/>
      <c r="P97" s="7"/>
      <c r="R97" s="351"/>
    </row>
    <row r="98" spans="1:18" x14ac:dyDescent="0.25">
      <c r="A98" s="74"/>
      <c r="B98" t="s">
        <v>374</v>
      </c>
      <c r="C98" s="101" t="s">
        <v>305</v>
      </c>
      <c r="D98" s="101" t="s">
        <v>351</v>
      </c>
      <c r="F98" s="140">
        <v>0</v>
      </c>
      <c r="G98" s="140">
        <v>0</v>
      </c>
      <c r="H98" s="140">
        <v>0</v>
      </c>
      <c r="I98" s="140">
        <v>0</v>
      </c>
      <c r="J98" s="140">
        <v>0</v>
      </c>
      <c r="K98" s="140">
        <v>0</v>
      </c>
      <c r="L98" s="37"/>
      <c r="M98" s="7"/>
      <c r="O98" s="7"/>
      <c r="P98" s="7"/>
      <c r="R98" s="351"/>
    </row>
    <row r="99" spans="1:18" x14ac:dyDescent="0.25">
      <c r="A99" s="74">
        <v>9257002</v>
      </c>
      <c r="B99" t="s">
        <v>829</v>
      </c>
      <c r="C99" s="101" t="s">
        <v>353</v>
      </c>
      <c r="D99" s="101" t="s">
        <v>354</v>
      </c>
      <c r="F99" s="550">
        <v>150.01676778686306</v>
      </c>
      <c r="G99" s="550">
        <v>180.02012134423603</v>
      </c>
      <c r="H99" s="550">
        <v>418.69476201554426</v>
      </c>
      <c r="I99" s="550">
        <v>429.59609436588289</v>
      </c>
      <c r="J99" s="550">
        <v>429.59609436588289</v>
      </c>
      <c r="K99" s="550">
        <v>436.41416403078438</v>
      </c>
      <c r="L99" s="37"/>
      <c r="M99" s="7"/>
      <c r="O99" s="7"/>
      <c r="P99" s="7"/>
      <c r="R99" s="351"/>
    </row>
    <row r="100" spans="1:18" x14ac:dyDescent="0.25">
      <c r="A100" s="74"/>
      <c r="B100" t="s">
        <v>375</v>
      </c>
      <c r="C100" s="101" t="s">
        <v>306</v>
      </c>
      <c r="D100" s="101" t="s">
        <v>351</v>
      </c>
      <c r="F100" s="550">
        <v>0</v>
      </c>
      <c r="G100" s="550">
        <v>0</v>
      </c>
      <c r="H100" s="550">
        <v>0</v>
      </c>
      <c r="I100" s="550">
        <v>0</v>
      </c>
      <c r="J100" s="550">
        <v>0</v>
      </c>
      <c r="K100" s="550">
        <v>0</v>
      </c>
      <c r="L100" s="37"/>
      <c r="M100" s="7"/>
      <c r="O100" s="7"/>
      <c r="P100" s="7"/>
      <c r="R100" s="351"/>
    </row>
    <row r="101" spans="1:18" x14ac:dyDescent="0.25">
      <c r="A101" s="74">
        <v>9257002</v>
      </c>
      <c r="B101" t="s">
        <v>830</v>
      </c>
      <c r="C101" s="101" t="s">
        <v>357</v>
      </c>
      <c r="D101" s="101" t="s">
        <v>217</v>
      </c>
      <c r="F101" s="7">
        <v>0</v>
      </c>
      <c r="G101" s="7">
        <v>0</v>
      </c>
      <c r="H101" s="7">
        <v>0</v>
      </c>
      <c r="I101" s="7">
        <v>0</v>
      </c>
      <c r="J101" s="7">
        <v>0</v>
      </c>
      <c r="K101" s="7">
        <v>0</v>
      </c>
      <c r="L101" s="141">
        <v>0</v>
      </c>
      <c r="M101" s="140">
        <v>0</v>
      </c>
      <c r="O101" s="7"/>
      <c r="P101" s="7"/>
      <c r="R101" s="351"/>
    </row>
    <row r="102" spans="1:18" x14ac:dyDescent="0.25">
      <c r="A102" s="78"/>
      <c r="C102" s="101"/>
      <c r="D102" s="101" t="s">
        <v>401</v>
      </c>
      <c r="F102" s="670">
        <v>0</v>
      </c>
      <c r="G102" s="670">
        <v>0</v>
      </c>
      <c r="H102" s="670">
        <v>0</v>
      </c>
      <c r="I102" s="670">
        <v>0</v>
      </c>
      <c r="J102" s="670">
        <v>0</v>
      </c>
      <c r="K102" s="670">
        <v>0</v>
      </c>
      <c r="L102" s="7"/>
      <c r="M102" s="7"/>
      <c r="O102" s="7"/>
      <c r="P102" s="7"/>
      <c r="R102" s="351"/>
    </row>
    <row r="103" spans="1:18" x14ac:dyDescent="0.25">
      <c r="A103" s="171"/>
      <c r="B103" s="171" t="s">
        <v>69</v>
      </c>
      <c r="C103" s="171"/>
      <c r="D103" s="171"/>
      <c r="E103" s="172"/>
      <c r="F103" s="173"/>
      <c r="G103" s="173"/>
      <c r="H103" s="173"/>
      <c r="I103" s="173"/>
      <c r="J103" s="173"/>
      <c r="K103" s="173"/>
      <c r="L103" s="173"/>
      <c r="M103" s="173"/>
      <c r="N103" s="172"/>
      <c r="O103" s="172"/>
      <c r="P103" s="172"/>
      <c r="Q103" s="172"/>
    </row>
    <row r="104" spans="1:18" x14ac:dyDescent="0.25">
      <c r="A104" s="341">
        <v>9257009</v>
      </c>
      <c r="B104" t="s">
        <v>881</v>
      </c>
      <c r="C104" s="101" t="s">
        <v>305</v>
      </c>
      <c r="D104" s="101" t="s">
        <v>346</v>
      </c>
      <c r="E104" s="37">
        <v>116.05780369470477</v>
      </c>
      <c r="F104" s="548">
        <v>23.122739018087856</v>
      </c>
      <c r="G104" s="548">
        <v>68.084577114427873</v>
      </c>
      <c r="H104" s="548">
        <v>10.88</v>
      </c>
      <c r="I104" s="548">
        <v>2.0024875621890548</v>
      </c>
      <c r="J104" s="548">
        <v>1.0880000000000001</v>
      </c>
      <c r="K104" s="548">
        <v>10.88</v>
      </c>
      <c r="L104" s="37">
        <v>0</v>
      </c>
      <c r="M104" s="7"/>
      <c r="N104" s="7"/>
      <c r="O104" s="140">
        <v>60152.544594865052</v>
      </c>
      <c r="R104" s="351"/>
    </row>
    <row r="105" spans="1:18" x14ac:dyDescent="0.25">
      <c r="A105" s="341">
        <v>9257009</v>
      </c>
      <c r="B105" t="s">
        <v>831</v>
      </c>
      <c r="C105" s="101" t="s">
        <v>306</v>
      </c>
      <c r="D105" t="s">
        <v>831</v>
      </c>
      <c r="E105" s="37">
        <v>198.91666666666669</v>
      </c>
      <c r="F105" s="549">
        <v>33.275031429597696</v>
      </c>
      <c r="G105" s="549">
        <v>106.0448096264368</v>
      </c>
      <c r="H105" s="549">
        <v>11.837890625000002</v>
      </c>
      <c r="I105" s="549">
        <v>14.872238685344827</v>
      </c>
      <c r="J105" s="549">
        <v>7.4037580818965516</v>
      </c>
      <c r="K105" s="549">
        <v>15.991558908045981</v>
      </c>
      <c r="L105" s="169">
        <v>9.4913793103448292</v>
      </c>
      <c r="N105" s="7"/>
      <c r="R105" s="351"/>
    </row>
    <row r="106" spans="1:18" x14ac:dyDescent="0.25">
      <c r="A106" s="341">
        <v>9257009</v>
      </c>
      <c r="B106" t="s">
        <v>832</v>
      </c>
      <c r="F106" s="170">
        <v>10.152292411509841</v>
      </c>
      <c r="G106" s="170">
        <v>37.960232512008929</v>
      </c>
      <c r="H106" s="170">
        <v>0.95789062500000099</v>
      </c>
      <c r="I106" s="170">
        <v>12.869751123155773</v>
      </c>
      <c r="J106" s="170">
        <v>6.3157580818965515</v>
      </c>
      <c r="K106" s="170">
        <v>5.1115589080459802</v>
      </c>
      <c r="L106" s="37">
        <v>9.4913793103448292</v>
      </c>
      <c r="M106" s="7"/>
      <c r="R106" s="351"/>
    </row>
    <row r="107" spans="1:18" x14ac:dyDescent="0.25">
      <c r="A107" s="341">
        <v>9257009</v>
      </c>
      <c r="B107" t="s">
        <v>833</v>
      </c>
      <c r="C107" s="101" t="s">
        <v>349</v>
      </c>
      <c r="D107" s="101" t="s">
        <v>346</v>
      </c>
      <c r="F107" s="549">
        <v>23.122739018087856</v>
      </c>
      <c r="G107" s="549">
        <v>68.084577114427873</v>
      </c>
      <c r="H107" s="549">
        <v>10.88</v>
      </c>
      <c r="I107" s="549">
        <v>2.0024875621890548</v>
      </c>
      <c r="J107" s="549">
        <v>1.0880000000000001</v>
      </c>
      <c r="K107" s="549">
        <v>10.88</v>
      </c>
      <c r="L107" s="37"/>
      <c r="M107" s="7"/>
      <c r="R107" s="351"/>
    </row>
    <row r="108" spans="1:18" x14ac:dyDescent="0.25">
      <c r="A108" s="341"/>
      <c r="B108" t="s">
        <v>376</v>
      </c>
      <c r="C108" s="101" t="s">
        <v>305</v>
      </c>
      <c r="D108" s="101" t="s">
        <v>351</v>
      </c>
      <c r="F108" s="140">
        <v>561.4811419557285</v>
      </c>
      <c r="G108" s="140">
        <v>549.73880753069204</v>
      </c>
      <c r="H108" s="140">
        <v>408.83079443025588</v>
      </c>
      <c r="I108" s="140">
        <v>355.99028951759271</v>
      </c>
      <c r="J108" s="140">
        <v>355.99028951759271</v>
      </c>
      <c r="K108" s="140">
        <v>385.34612558018296</v>
      </c>
      <c r="L108" s="37"/>
      <c r="M108" s="7"/>
      <c r="R108" s="351"/>
    </row>
    <row r="109" spans="1:18" x14ac:dyDescent="0.25">
      <c r="A109" s="341">
        <v>9257009</v>
      </c>
      <c r="B109" t="s">
        <v>834</v>
      </c>
      <c r="C109" s="101" t="s">
        <v>353</v>
      </c>
      <c r="D109" s="101" t="s">
        <v>354</v>
      </c>
      <c r="F109" s="550">
        <v>150.01676778686306</v>
      </c>
      <c r="G109" s="550">
        <v>180.02012134423603</v>
      </c>
      <c r="H109" s="550">
        <v>418.69476201554426</v>
      </c>
      <c r="I109" s="550">
        <v>429.59609436588289</v>
      </c>
      <c r="J109" s="550">
        <v>429.59609436588289</v>
      </c>
      <c r="K109" s="550">
        <v>436.41416403078438</v>
      </c>
      <c r="L109" s="37"/>
      <c r="M109" s="7"/>
      <c r="R109" s="351"/>
    </row>
    <row r="110" spans="1:18" x14ac:dyDescent="0.25">
      <c r="A110" s="341"/>
      <c r="B110" t="s">
        <v>377</v>
      </c>
      <c r="C110" s="101" t="s">
        <v>306</v>
      </c>
      <c r="D110" s="101" t="s">
        <v>351</v>
      </c>
      <c r="F110" s="550">
        <v>411.46437416886545</v>
      </c>
      <c r="G110" s="550">
        <v>369.71868618645601</v>
      </c>
      <c r="H110" s="550">
        <v>0</v>
      </c>
      <c r="I110" s="550">
        <v>0</v>
      </c>
      <c r="J110" s="550">
        <v>0</v>
      </c>
      <c r="K110" s="550">
        <v>0</v>
      </c>
      <c r="L110" s="37"/>
      <c r="M110" s="7"/>
      <c r="R110" s="351"/>
    </row>
    <row r="111" spans="1:18" x14ac:dyDescent="0.25">
      <c r="A111" s="341">
        <v>9257009</v>
      </c>
      <c r="B111" t="s">
        <v>835</v>
      </c>
      <c r="C111" s="101" t="s">
        <v>357</v>
      </c>
      <c r="D111" s="101" t="s">
        <v>217</v>
      </c>
      <c r="F111" s="7">
        <v>9514.1833391475266</v>
      </c>
      <c r="G111" s="7">
        <v>25172.140400306722</v>
      </c>
      <c r="H111" s="7">
        <v>0</v>
      </c>
      <c r="I111" s="7">
        <v>0</v>
      </c>
      <c r="J111" s="7">
        <v>0</v>
      </c>
      <c r="K111" s="7">
        <v>0</v>
      </c>
      <c r="L111" s="141">
        <v>34686.323739454252</v>
      </c>
      <c r="M111" s="140">
        <v>-25466.2208554108</v>
      </c>
      <c r="R111" s="351"/>
    </row>
    <row r="112" spans="1:18" x14ac:dyDescent="0.25">
      <c r="A112" s="33"/>
      <c r="C112" s="101"/>
      <c r="D112" s="101" t="s">
        <v>401</v>
      </c>
      <c r="F112" s="670">
        <v>23.122739018087856</v>
      </c>
      <c r="G112" s="670">
        <v>68.084577114427873</v>
      </c>
      <c r="H112" s="670">
        <v>0</v>
      </c>
      <c r="I112" s="670">
        <v>0</v>
      </c>
      <c r="J112" s="670">
        <v>0</v>
      </c>
      <c r="K112" s="670">
        <v>0</v>
      </c>
      <c r="L112" s="7"/>
      <c r="M112" s="7"/>
      <c r="R112" s="351"/>
    </row>
    <row r="113" spans="1:18" x14ac:dyDescent="0.25">
      <c r="A113" s="171"/>
      <c r="B113" s="171" t="s">
        <v>278</v>
      </c>
      <c r="C113" s="171"/>
      <c r="D113" s="171"/>
      <c r="E113" s="172"/>
      <c r="F113" s="173"/>
      <c r="G113" s="173"/>
      <c r="H113" s="173"/>
      <c r="I113" s="173"/>
      <c r="J113" s="173"/>
      <c r="K113" s="173"/>
      <c r="L113" s="173"/>
      <c r="M113" s="173"/>
      <c r="N113" s="172"/>
      <c r="O113" s="172"/>
      <c r="P113" s="172"/>
      <c r="Q113" s="172"/>
    </row>
    <row r="114" spans="1:18" x14ac:dyDescent="0.25">
      <c r="A114" s="74">
        <v>9257029</v>
      </c>
      <c r="B114" t="s">
        <v>882</v>
      </c>
      <c r="C114" s="101" t="s">
        <v>305</v>
      </c>
      <c r="D114" s="101" t="s">
        <v>346</v>
      </c>
      <c r="E114" s="37">
        <v>56.75</v>
      </c>
      <c r="F114" s="548">
        <v>0</v>
      </c>
      <c r="G114" s="548">
        <v>0</v>
      </c>
      <c r="H114" s="548">
        <v>56.75</v>
      </c>
      <c r="I114" s="548">
        <v>0</v>
      </c>
      <c r="J114" s="548">
        <v>0</v>
      </c>
      <c r="K114" s="548">
        <v>0</v>
      </c>
      <c r="L114" s="37">
        <v>0</v>
      </c>
      <c r="N114" s="7"/>
      <c r="O114" s="140">
        <v>4968.7663456613536</v>
      </c>
      <c r="R114" s="351"/>
    </row>
    <row r="115" spans="1:18" x14ac:dyDescent="0.25">
      <c r="A115" s="74">
        <v>9257029</v>
      </c>
      <c r="B115" t="s">
        <v>836</v>
      </c>
      <c r="C115" s="101" t="s">
        <v>306</v>
      </c>
      <c r="D115" t="s">
        <v>836</v>
      </c>
      <c r="E115" s="37">
        <v>78.583333333333343</v>
      </c>
      <c r="F115" s="549">
        <v>0</v>
      </c>
      <c r="G115" s="549">
        <v>0</v>
      </c>
      <c r="H115" s="549">
        <v>78.583333333333343</v>
      </c>
      <c r="I115" s="549">
        <v>0</v>
      </c>
      <c r="J115" s="549">
        <v>0</v>
      </c>
      <c r="K115" s="549">
        <v>0</v>
      </c>
      <c r="L115" s="169">
        <v>0</v>
      </c>
      <c r="N115" s="7"/>
      <c r="R115" s="351"/>
    </row>
    <row r="116" spans="1:18" x14ac:dyDescent="0.25">
      <c r="A116" s="74">
        <v>9257029</v>
      </c>
      <c r="B116" t="s">
        <v>837</v>
      </c>
      <c r="F116" s="170">
        <v>0</v>
      </c>
      <c r="G116" s="170">
        <v>0</v>
      </c>
      <c r="H116" s="170">
        <v>21.833333333333343</v>
      </c>
      <c r="I116" s="170">
        <v>0</v>
      </c>
      <c r="J116" s="170">
        <v>0</v>
      </c>
      <c r="K116" s="170">
        <v>0</v>
      </c>
      <c r="R116" s="351"/>
    </row>
    <row r="117" spans="1:18" x14ac:dyDescent="0.25">
      <c r="A117" s="74">
        <v>9257029</v>
      </c>
      <c r="B117" t="s">
        <v>838</v>
      </c>
      <c r="C117" s="101" t="s">
        <v>349</v>
      </c>
      <c r="D117" s="101" t="s">
        <v>346</v>
      </c>
      <c r="F117" s="549">
        <v>0</v>
      </c>
      <c r="G117" s="549">
        <v>0</v>
      </c>
      <c r="H117" s="549">
        <v>56.75</v>
      </c>
      <c r="I117" s="549">
        <v>0</v>
      </c>
      <c r="J117" s="549">
        <v>0</v>
      </c>
      <c r="K117" s="549">
        <v>0</v>
      </c>
      <c r="L117" s="37"/>
      <c r="M117" s="7"/>
      <c r="O117" s="7"/>
      <c r="P117" s="7"/>
      <c r="R117" s="351"/>
    </row>
    <row r="118" spans="1:18" x14ac:dyDescent="0.25">
      <c r="A118" s="74"/>
      <c r="B118" t="s">
        <v>378</v>
      </c>
      <c r="C118" s="101" t="s">
        <v>305</v>
      </c>
      <c r="D118" s="101" t="s">
        <v>351</v>
      </c>
      <c r="F118" s="140">
        <v>0</v>
      </c>
      <c r="G118" s="140">
        <v>0</v>
      </c>
      <c r="H118" s="140">
        <v>87.555354108570114</v>
      </c>
      <c r="I118" s="140">
        <v>0</v>
      </c>
      <c r="J118" s="140">
        <v>0</v>
      </c>
      <c r="K118" s="140">
        <v>0</v>
      </c>
      <c r="L118" s="37"/>
      <c r="M118" s="7"/>
      <c r="O118" s="7"/>
      <c r="P118" s="7"/>
      <c r="R118" s="351"/>
    </row>
    <row r="119" spans="1:18" x14ac:dyDescent="0.25">
      <c r="A119" s="74">
        <v>9257029</v>
      </c>
      <c r="B119" t="s">
        <v>839</v>
      </c>
      <c r="C119" s="101" t="s">
        <v>353</v>
      </c>
      <c r="D119" s="101" t="s">
        <v>354</v>
      </c>
      <c r="F119" s="550">
        <v>150.01676778686306</v>
      </c>
      <c r="G119" s="550">
        <v>180.02012134423603</v>
      </c>
      <c r="H119" s="550">
        <v>418.69476201554426</v>
      </c>
      <c r="I119" s="550">
        <v>429.59609436588289</v>
      </c>
      <c r="J119" s="550">
        <v>429.59609436588289</v>
      </c>
      <c r="K119" s="550">
        <v>436.41416403078438</v>
      </c>
      <c r="L119" s="37"/>
      <c r="M119" s="7"/>
      <c r="R119" s="351"/>
    </row>
    <row r="120" spans="1:18" x14ac:dyDescent="0.25">
      <c r="A120" s="74"/>
      <c r="B120" t="s">
        <v>379</v>
      </c>
      <c r="C120" s="101" t="s">
        <v>306</v>
      </c>
      <c r="D120" s="101" t="s">
        <v>351</v>
      </c>
      <c r="F120" s="550">
        <v>0</v>
      </c>
      <c r="G120" s="550">
        <v>0</v>
      </c>
      <c r="H120" s="550">
        <v>0</v>
      </c>
      <c r="I120" s="550">
        <v>0</v>
      </c>
      <c r="J120" s="550">
        <v>0</v>
      </c>
      <c r="K120" s="550">
        <v>0</v>
      </c>
      <c r="L120" s="37"/>
      <c r="M120" s="7"/>
      <c r="R120" s="351"/>
    </row>
    <row r="121" spans="1:18" x14ac:dyDescent="0.25">
      <c r="A121" s="74">
        <v>9257029</v>
      </c>
      <c r="B121" t="s">
        <v>840</v>
      </c>
      <c r="C121" s="101" t="s">
        <v>357</v>
      </c>
      <c r="D121" s="101" t="s">
        <v>217</v>
      </c>
      <c r="F121" s="7">
        <v>0</v>
      </c>
      <c r="G121" s="7">
        <v>0</v>
      </c>
      <c r="H121" s="7">
        <v>0</v>
      </c>
      <c r="I121" s="7">
        <v>0</v>
      </c>
      <c r="J121" s="7">
        <v>0</v>
      </c>
      <c r="K121" s="7">
        <v>0</v>
      </c>
      <c r="L121" s="141">
        <v>0</v>
      </c>
      <c r="M121" s="140">
        <v>-4968.7663456613536</v>
      </c>
      <c r="R121" s="351"/>
    </row>
    <row r="122" spans="1:18" x14ac:dyDescent="0.25">
      <c r="A122" s="78"/>
      <c r="C122" s="101"/>
      <c r="D122" s="101" t="s">
        <v>401</v>
      </c>
      <c r="F122" s="670">
        <v>0</v>
      </c>
      <c r="G122" s="670">
        <v>0</v>
      </c>
      <c r="H122" s="670">
        <v>0</v>
      </c>
      <c r="I122" s="670">
        <v>0</v>
      </c>
      <c r="J122" s="670">
        <v>0</v>
      </c>
      <c r="K122" s="670">
        <v>0</v>
      </c>
      <c r="L122" s="7"/>
      <c r="M122" s="7"/>
      <c r="R122" s="351"/>
    </row>
    <row r="123" spans="1:18" x14ac:dyDescent="0.25">
      <c r="A123" s="171"/>
      <c r="B123" s="171" t="s">
        <v>380</v>
      </c>
      <c r="C123" s="171"/>
      <c r="D123" s="171"/>
      <c r="E123" s="172"/>
      <c r="F123" s="173"/>
      <c r="G123" s="173"/>
      <c r="H123" s="173"/>
      <c r="I123" s="173"/>
      <c r="J123" s="173"/>
      <c r="K123" s="173"/>
      <c r="L123" s="173"/>
      <c r="M123" s="173"/>
      <c r="N123" s="172"/>
      <c r="O123" s="172"/>
      <c r="P123" s="172"/>
      <c r="Q123" s="172"/>
    </row>
    <row r="124" spans="1:18" x14ac:dyDescent="0.25">
      <c r="A124" s="74">
        <v>9257032</v>
      </c>
      <c r="B124" t="s">
        <v>883</v>
      </c>
      <c r="C124" s="101" t="s">
        <v>305</v>
      </c>
      <c r="D124" s="101" t="s">
        <v>346</v>
      </c>
      <c r="E124" s="37">
        <v>71.416666666666671</v>
      </c>
      <c r="F124" s="548">
        <v>0</v>
      </c>
      <c r="G124" s="548">
        <v>0</v>
      </c>
      <c r="H124" s="548">
        <v>71.416666666666671</v>
      </c>
      <c r="I124" s="548">
        <v>0</v>
      </c>
      <c r="J124" s="548">
        <v>0</v>
      </c>
      <c r="K124" s="548">
        <v>0</v>
      </c>
      <c r="L124" s="37">
        <v>0</v>
      </c>
      <c r="N124" s="7"/>
      <c r="O124" s="140">
        <v>26861.708477914828</v>
      </c>
      <c r="R124" s="351"/>
    </row>
    <row r="125" spans="1:18" x14ac:dyDescent="0.25">
      <c r="A125" s="74">
        <v>9257032</v>
      </c>
      <c r="B125" t="s">
        <v>841</v>
      </c>
      <c r="C125" s="101" t="s">
        <v>306</v>
      </c>
      <c r="D125" t="s">
        <v>841</v>
      </c>
      <c r="E125" s="37">
        <v>104</v>
      </c>
      <c r="F125" s="549">
        <v>0</v>
      </c>
      <c r="G125" s="549">
        <v>0</v>
      </c>
      <c r="H125" s="549">
        <v>104</v>
      </c>
      <c r="I125" s="549">
        <v>0</v>
      </c>
      <c r="J125" s="549">
        <v>0</v>
      </c>
      <c r="K125" s="549">
        <v>0</v>
      </c>
      <c r="L125" s="169">
        <v>0</v>
      </c>
      <c r="N125" s="7"/>
      <c r="R125" s="351"/>
    </row>
    <row r="126" spans="1:18" x14ac:dyDescent="0.25">
      <c r="A126" s="74">
        <v>9257032</v>
      </c>
      <c r="B126" t="s">
        <v>842</v>
      </c>
      <c r="F126" s="170">
        <v>0</v>
      </c>
      <c r="G126" s="170">
        <v>0</v>
      </c>
      <c r="H126" s="170">
        <v>32.583333333333329</v>
      </c>
      <c r="I126" s="170">
        <v>0</v>
      </c>
      <c r="J126" s="170">
        <v>0</v>
      </c>
      <c r="K126" s="170">
        <v>0</v>
      </c>
      <c r="R126" s="351"/>
    </row>
    <row r="127" spans="1:18" x14ac:dyDescent="0.25">
      <c r="A127" s="74">
        <v>9257032</v>
      </c>
      <c r="B127" t="s">
        <v>843</v>
      </c>
      <c r="C127" s="101" t="s">
        <v>349</v>
      </c>
      <c r="D127" s="101" t="s">
        <v>346</v>
      </c>
      <c r="F127" s="549">
        <v>0</v>
      </c>
      <c r="G127" s="549">
        <v>0</v>
      </c>
      <c r="H127" s="549">
        <v>71.416666666666671</v>
      </c>
      <c r="I127" s="549">
        <v>0</v>
      </c>
      <c r="J127" s="549">
        <v>0</v>
      </c>
      <c r="K127" s="549">
        <v>0</v>
      </c>
      <c r="L127" s="37"/>
      <c r="M127" s="7"/>
      <c r="O127" s="7"/>
      <c r="P127" s="7"/>
      <c r="R127" s="351"/>
    </row>
    <row r="128" spans="1:18" x14ac:dyDescent="0.25">
      <c r="A128" s="74"/>
      <c r="B128" t="s">
        <v>381</v>
      </c>
      <c r="C128" s="101" t="s">
        <v>305</v>
      </c>
      <c r="D128" s="101" t="s">
        <v>351</v>
      </c>
      <c r="F128" s="140">
        <v>0</v>
      </c>
      <c r="G128" s="140">
        <v>0</v>
      </c>
      <c r="H128" s="140">
        <v>376.12660645855067</v>
      </c>
      <c r="I128" s="140">
        <v>0</v>
      </c>
      <c r="J128" s="140">
        <v>0</v>
      </c>
      <c r="K128" s="140">
        <v>0</v>
      </c>
      <c r="L128" s="37"/>
      <c r="M128" s="7"/>
      <c r="O128" s="7"/>
      <c r="P128" s="7"/>
      <c r="R128" s="351"/>
    </row>
    <row r="129" spans="1:18" x14ac:dyDescent="0.25">
      <c r="A129" s="74">
        <v>9257032</v>
      </c>
      <c r="B129" t="s">
        <v>844</v>
      </c>
      <c r="C129" s="101" t="s">
        <v>353</v>
      </c>
      <c r="D129" s="101" t="s">
        <v>354</v>
      </c>
      <c r="F129" s="550">
        <v>150.01676778686306</v>
      </c>
      <c r="G129" s="550">
        <v>180.02012134423603</v>
      </c>
      <c r="H129" s="550">
        <v>418.69476201554426</v>
      </c>
      <c r="I129" s="550">
        <v>429.59609436588289</v>
      </c>
      <c r="J129" s="550">
        <v>429.59609436588289</v>
      </c>
      <c r="K129" s="550">
        <v>436.41416403078438</v>
      </c>
      <c r="L129" s="37"/>
      <c r="M129" s="7"/>
      <c r="R129" s="351"/>
    </row>
    <row r="130" spans="1:18" x14ac:dyDescent="0.25">
      <c r="A130" s="74"/>
      <c r="B130" t="s">
        <v>382</v>
      </c>
      <c r="C130" s="101" t="s">
        <v>306</v>
      </c>
      <c r="D130" s="101" t="s">
        <v>351</v>
      </c>
      <c r="F130" s="550">
        <v>0</v>
      </c>
      <c r="G130" s="550">
        <v>0</v>
      </c>
      <c r="H130" s="550">
        <v>0</v>
      </c>
      <c r="I130" s="550">
        <v>0</v>
      </c>
      <c r="J130" s="550">
        <v>0</v>
      </c>
      <c r="K130" s="550">
        <v>0</v>
      </c>
      <c r="L130" s="37"/>
      <c r="M130" s="7"/>
      <c r="R130" s="351"/>
    </row>
    <row r="131" spans="1:18" x14ac:dyDescent="0.25">
      <c r="A131" s="74">
        <v>9257032</v>
      </c>
      <c r="B131" t="s">
        <v>845</v>
      </c>
      <c r="C131" s="101" t="s">
        <v>357</v>
      </c>
      <c r="D131" s="101" t="s">
        <v>217</v>
      </c>
      <c r="F131" s="7">
        <v>0</v>
      </c>
      <c r="G131" s="7">
        <v>0</v>
      </c>
      <c r="H131" s="7">
        <v>0</v>
      </c>
      <c r="I131" s="7">
        <v>0</v>
      </c>
      <c r="J131" s="7">
        <v>0</v>
      </c>
      <c r="K131" s="7">
        <v>0</v>
      </c>
      <c r="L131" s="141">
        <v>0</v>
      </c>
      <c r="M131" s="140">
        <v>-26861.708477914828</v>
      </c>
      <c r="R131" s="351"/>
    </row>
    <row r="132" spans="1:18" x14ac:dyDescent="0.25">
      <c r="A132" s="78"/>
      <c r="C132" s="101"/>
      <c r="D132" s="101" t="s">
        <v>401</v>
      </c>
      <c r="F132" s="670">
        <v>0</v>
      </c>
      <c r="G132" s="670">
        <v>0</v>
      </c>
      <c r="H132" s="670">
        <v>0</v>
      </c>
      <c r="I132" s="670">
        <v>0</v>
      </c>
      <c r="J132" s="670">
        <v>0</v>
      </c>
      <c r="K132" s="670">
        <v>0</v>
      </c>
      <c r="L132" s="7"/>
      <c r="M132" s="7"/>
      <c r="R132" s="351"/>
    </row>
    <row r="133" spans="1:18" x14ac:dyDescent="0.25">
      <c r="A133" s="171"/>
      <c r="B133" s="171" t="s">
        <v>383</v>
      </c>
      <c r="C133" s="171"/>
      <c r="D133" s="171"/>
      <c r="E133" s="172"/>
      <c r="F133" s="173"/>
      <c r="G133" s="173"/>
      <c r="H133" s="173"/>
      <c r="I133" s="173"/>
      <c r="J133" s="173"/>
      <c r="K133" s="173"/>
      <c r="L133" s="173"/>
      <c r="M133" s="173"/>
      <c r="N133" s="172"/>
      <c r="O133" s="172"/>
      <c r="P133" s="172"/>
      <c r="Q133" s="172"/>
    </row>
    <row r="134" spans="1:18" x14ac:dyDescent="0.25">
      <c r="A134" s="74">
        <v>9257030</v>
      </c>
      <c r="B134" t="s">
        <v>884</v>
      </c>
      <c r="C134" s="101" t="s">
        <v>305</v>
      </c>
      <c r="D134" s="101" t="s">
        <v>346</v>
      </c>
      <c r="E134" s="37">
        <v>72.333333333333343</v>
      </c>
      <c r="F134" s="548">
        <v>0</v>
      </c>
      <c r="G134" s="548">
        <v>0</v>
      </c>
      <c r="H134" s="548">
        <v>72.333333333333343</v>
      </c>
      <c r="I134" s="548">
        <v>0</v>
      </c>
      <c r="J134" s="548">
        <v>0</v>
      </c>
      <c r="K134" s="548">
        <v>0</v>
      </c>
      <c r="L134" s="37">
        <v>0</v>
      </c>
      <c r="N134" s="7"/>
      <c r="O134" s="140">
        <v>33252.755302644044</v>
      </c>
      <c r="R134" s="351"/>
    </row>
    <row r="135" spans="1:18" x14ac:dyDescent="0.25">
      <c r="A135" s="74">
        <v>9257030</v>
      </c>
      <c r="B135" t="s">
        <v>846</v>
      </c>
      <c r="C135" s="101" t="s">
        <v>306</v>
      </c>
      <c r="D135" t="s">
        <v>846</v>
      </c>
      <c r="E135" s="37">
        <v>70.833333333333343</v>
      </c>
      <c r="F135" s="549">
        <v>0</v>
      </c>
      <c r="G135" s="549">
        <v>0</v>
      </c>
      <c r="H135" s="549">
        <v>70.833333333333343</v>
      </c>
      <c r="I135" s="549">
        <v>0</v>
      </c>
      <c r="J135" s="549">
        <v>0</v>
      </c>
      <c r="K135" s="549">
        <v>0</v>
      </c>
      <c r="L135" s="169">
        <v>0</v>
      </c>
      <c r="N135" s="7"/>
      <c r="R135" s="351"/>
    </row>
    <row r="136" spans="1:18" x14ac:dyDescent="0.25">
      <c r="A136" s="74">
        <v>9257030</v>
      </c>
      <c r="B136" t="s">
        <v>847</v>
      </c>
      <c r="F136" s="170">
        <v>0</v>
      </c>
      <c r="G136" s="170">
        <v>0</v>
      </c>
      <c r="H136" s="170">
        <v>-1.5</v>
      </c>
      <c r="I136" s="170">
        <v>0</v>
      </c>
      <c r="J136" s="170">
        <v>0</v>
      </c>
      <c r="K136" s="170">
        <v>0</v>
      </c>
      <c r="R136" s="351"/>
    </row>
    <row r="137" spans="1:18" x14ac:dyDescent="0.25">
      <c r="A137" s="74">
        <v>9257030</v>
      </c>
      <c r="B137" t="s">
        <v>848</v>
      </c>
      <c r="C137" s="101" t="s">
        <v>349</v>
      </c>
      <c r="D137" s="101" t="s">
        <v>346</v>
      </c>
      <c r="F137" s="549">
        <v>0</v>
      </c>
      <c r="G137" s="549">
        <v>0</v>
      </c>
      <c r="H137" s="549">
        <v>70.833333333333343</v>
      </c>
      <c r="I137" s="549">
        <v>0</v>
      </c>
      <c r="J137" s="549">
        <v>0</v>
      </c>
      <c r="K137" s="549">
        <v>0</v>
      </c>
      <c r="L137" s="37"/>
      <c r="M137" s="7"/>
      <c r="O137" s="7"/>
      <c r="P137" s="7"/>
      <c r="R137" s="351"/>
    </row>
    <row r="138" spans="1:18" x14ac:dyDescent="0.25">
      <c r="A138" s="74"/>
      <c r="B138" t="s">
        <v>384</v>
      </c>
      <c r="C138" s="101" t="s">
        <v>305</v>
      </c>
      <c r="D138" s="101" t="s">
        <v>351</v>
      </c>
      <c r="F138" s="140">
        <v>0</v>
      </c>
      <c r="G138" s="140">
        <v>0</v>
      </c>
      <c r="H138" s="140">
        <v>459.7155110964614</v>
      </c>
      <c r="I138" s="140">
        <v>0</v>
      </c>
      <c r="J138" s="140">
        <v>0</v>
      </c>
      <c r="K138" s="140">
        <v>0</v>
      </c>
      <c r="L138" s="37"/>
      <c r="M138" s="7"/>
      <c r="O138" s="7"/>
      <c r="P138" s="7"/>
      <c r="R138" s="351"/>
    </row>
    <row r="139" spans="1:18" x14ac:dyDescent="0.25">
      <c r="A139" s="74">
        <v>9257030</v>
      </c>
      <c r="B139" t="s">
        <v>849</v>
      </c>
      <c r="C139" s="101" t="s">
        <v>353</v>
      </c>
      <c r="D139" s="101" t="s">
        <v>354</v>
      </c>
      <c r="F139" s="550">
        <v>150.01676778686306</v>
      </c>
      <c r="G139" s="550">
        <v>180.02012134423603</v>
      </c>
      <c r="H139" s="550">
        <v>418.69476201554426</v>
      </c>
      <c r="I139" s="550">
        <v>429.59609436588289</v>
      </c>
      <c r="J139" s="550">
        <v>429.59609436588289</v>
      </c>
      <c r="K139" s="550">
        <v>436.41416403078438</v>
      </c>
      <c r="L139" s="37"/>
      <c r="M139" s="7"/>
      <c r="R139" s="351"/>
    </row>
    <row r="140" spans="1:18" x14ac:dyDescent="0.25">
      <c r="A140" s="74"/>
      <c r="B140" t="s">
        <v>385</v>
      </c>
      <c r="C140" s="101" t="s">
        <v>306</v>
      </c>
      <c r="D140" s="101" t="s">
        <v>351</v>
      </c>
      <c r="F140" s="550">
        <v>0</v>
      </c>
      <c r="G140" s="550">
        <v>0</v>
      </c>
      <c r="H140" s="550">
        <v>41.020749080917142</v>
      </c>
      <c r="I140" s="550">
        <v>0</v>
      </c>
      <c r="J140" s="550">
        <v>0</v>
      </c>
      <c r="K140" s="550">
        <v>0</v>
      </c>
      <c r="L140" s="37"/>
      <c r="M140" s="7"/>
      <c r="R140" s="351"/>
    </row>
    <row r="141" spans="1:18" x14ac:dyDescent="0.25">
      <c r="A141" s="74">
        <v>9257030</v>
      </c>
      <c r="B141" t="s">
        <v>850</v>
      </c>
      <c r="C141" s="101" t="s">
        <v>357</v>
      </c>
      <c r="D141" s="101" t="s">
        <v>217</v>
      </c>
      <c r="F141" s="7">
        <v>0</v>
      </c>
      <c r="G141" s="7">
        <v>0</v>
      </c>
      <c r="H141" s="7">
        <v>2905.6363932316312</v>
      </c>
      <c r="I141" s="7">
        <v>0</v>
      </c>
      <c r="J141" s="7">
        <v>0</v>
      </c>
      <c r="K141" s="7">
        <v>0</v>
      </c>
      <c r="L141" s="141">
        <v>2905.6363932316312</v>
      </c>
      <c r="M141" s="140">
        <v>-30347.118909412413</v>
      </c>
      <c r="R141" s="351"/>
    </row>
    <row r="142" spans="1:18" x14ac:dyDescent="0.25">
      <c r="A142" s="78"/>
      <c r="C142" s="101"/>
      <c r="D142" s="101" t="s">
        <v>401</v>
      </c>
      <c r="F142" s="670">
        <v>0</v>
      </c>
      <c r="G142" s="670">
        <v>0</v>
      </c>
      <c r="H142" s="670">
        <v>70.833333333333343</v>
      </c>
      <c r="I142" s="670">
        <v>0</v>
      </c>
      <c r="J142" s="670">
        <v>0</v>
      </c>
      <c r="K142" s="670">
        <v>0</v>
      </c>
      <c r="L142" s="7"/>
      <c r="M142" s="7"/>
      <c r="R142" s="351"/>
    </row>
    <row r="143" spans="1:18" x14ac:dyDescent="0.25">
      <c r="A143" s="171"/>
      <c r="B143" s="171" t="s">
        <v>70</v>
      </c>
      <c r="C143" s="171"/>
      <c r="D143" s="171"/>
      <c r="E143" s="172"/>
      <c r="F143" s="173"/>
      <c r="G143" s="173"/>
      <c r="H143" s="173"/>
      <c r="I143" s="173"/>
      <c r="J143" s="173"/>
      <c r="K143" s="173"/>
      <c r="L143" s="173"/>
      <c r="M143" s="173"/>
      <c r="N143" s="172"/>
      <c r="O143" s="172"/>
      <c r="P143" s="172"/>
      <c r="Q143" s="172"/>
    </row>
    <row r="144" spans="1:18" x14ac:dyDescent="0.25">
      <c r="A144" s="74">
        <v>9257028</v>
      </c>
      <c r="B144" t="s">
        <v>885</v>
      </c>
      <c r="C144" s="101" t="s">
        <v>305</v>
      </c>
      <c r="D144" s="101" t="s">
        <v>346</v>
      </c>
      <c r="E144" s="37">
        <v>0</v>
      </c>
      <c r="F144" s="548">
        <v>0</v>
      </c>
      <c r="G144" s="548">
        <v>0</v>
      </c>
      <c r="H144" s="548">
        <v>0</v>
      </c>
      <c r="I144" s="548">
        <v>0</v>
      </c>
      <c r="J144" s="548">
        <v>0</v>
      </c>
      <c r="K144" s="548">
        <v>0</v>
      </c>
      <c r="L144" s="37">
        <v>0</v>
      </c>
      <c r="N144" s="7"/>
      <c r="O144" s="140">
        <v>0</v>
      </c>
      <c r="R144" s="351"/>
    </row>
    <row r="145" spans="1:18" x14ac:dyDescent="0.25">
      <c r="A145" s="74">
        <v>9257028</v>
      </c>
      <c r="B145" t="s">
        <v>851</v>
      </c>
      <c r="C145" s="101" t="s">
        <v>306</v>
      </c>
      <c r="D145" t="s">
        <v>851</v>
      </c>
      <c r="E145" s="37">
        <v>129.91666666666669</v>
      </c>
      <c r="F145" s="549">
        <v>12.009103641456585</v>
      </c>
      <c r="G145" s="549">
        <v>57.862044817927185</v>
      </c>
      <c r="H145" s="549">
        <v>9.8256302521008418</v>
      </c>
      <c r="I145" s="549">
        <v>12.009103641456585</v>
      </c>
      <c r="J145" s="549">
        <v>12.009103641456585</v>
      </c>
      <c r="K145" s="549">
        <v>9.8256302521008418</v>
      </c>
      <c r="L145" s="169">
        <v>16.37605042016807</v>
      </c>
      <c r="N145" s="7"/>
      <c r="R145" s="351"/>
    </row>
    <row r="146" spans="1:18" x14ac:dyDescent="0.25">
      <c r="A146" s="74">
        <v>9257028</v>
      </c>
      <c r="B146" t="s">
        <v>852</v>
      </c>
      <c r="F146" s="170">
        <v>12.009103641456585</v>
      </c>
      <c r="G146" s="170">
        <v>57.862044817927185</v>
      </c>
      <c r="H146" s="170">
        <v>9.8256302521008418</v>
      </c>
      <c r="I146" s="170">
        <v>12.009103641456585</v>
      </c>
      <c r="J146" s="170">
        <v>12.009103641456585</v>
      </c>
      <c r="K146" s="170">
        <v>9.8256302521008418</v>
      </c>
      <c r="R146" s="351"/>
    </row>
    <row r="147" spans="1:18" x14ac:dyDescent="0.25">
      <c r="A147" s="74">
        <v>9257028</v>
      </c>
      <c r="B147" t="s">
        <v>853</v>
      </c>
      <c r="C147" s="101" t="s">
        <v>349</v>
      </c>
      <c r="D147" s="101" t="s">
        <v>346</v>
      </c>
      <c r="F147" s="549">
        <v>0</v>
      </c>
      <c r="G147" s="549">
        <v>0</v>
      </c>
      <c r="H147" s="549">
        <v>0</v>
      </c>
      <c r="I147" s="549">
        <v>0</v>
      </c>
      <c r="J147" s="549">
        <v>0</v>
      </c>
      <c r="K147" s="549">
        <v>0</v>
      </c>
      <c r="L147" s="37"/>
      <c r="M147" s="7"/>
      <c r="O147" s="7"/>
      <c r="P147" s="7"/>
      <c r="R147" s="351"/>
    </row>
    <row r="148" spans="1:18" x14ac:dyDescent="0.25">
      <c r="A148" s="74"/>
      <c r="B148" t="s">
        <v>386</v>
      </c>
      <c r="C148" s="101" t="s">
        <v>305</v>
      </c>
      <c r="D148" s="101" t="s">
        <v>351</v>
      </c>
      <c r="F148" s="140">
        <v>0</v>
      </c>
      <c r="G148" s="140">
        <v>0</v>
      </c>
      <c r="H148" s="140">
        <v>0</v>
      </c>
      <c r="I148" s="140">
        <v>0</v>
      </c>
      <c r="J148" s="140">
        <v>0</v>
      </c>
      <c r="K148" s="140">
        <v>0</v>
      </c>
      <c r="L148" s="37"/>
      <c r="M148" s="7"/>
      <c r="O148" s="7"/>
      <c r="P148" s="7"/>
      <c r="R148" s="351"/>
    </row>
    <row r="149" spans="1:18" x14ac:dyDescent="0.25">
      <c r="A149" s="74">
        <v>9257028</v>
      </c>
      <c r="B149" t="s">
        <v>854</v>
      </c>
      <c r="C149" s="101" t="s">
        <v>353</v>
      </c>
      <c r="D149" s="101" t="s">
        <v>354</v>
      </c>
      <c r="F149" s="550">
        <v>150.01676778686306</v>
      </c>
      <c r="G149" s="550">
        <v>180.02012134423603</v>
      </c>
      <c r="H149" s="550">
        <v>418.69476201554426</v>
      </c>
      <c r="I149" s="550">
        <v>429.59609436588289</v>
      </c>
      <c r="J149" s="550">
        <v>429.59609436588289</v>
      </c>
      <c r="K149" s="550">
        <v>436.41416403078438</v>
      </c>
      <c r="L149" s="37"/>
      <c r="M149" s="7"/>
      <c r="R149" s="351"/>
    </row>
    <row r="150" spans="1:18" x14ac:dyDescent="0.25">
      <c r="A150" s="74"/>
      <c r="B150" t="s">
        <v>387</v>
      </c>
      <c r="C150" s="101" t="s">
        <v>306</v>
      </c>
      <c r="D150" s="101" t="s">
        <v>351</v>
      </c>
      <c r="F150" s="550">
        <v>0</v>
      </c>
      <c r="G150" s="550">
        <v>0</v>
      </c>
      <c r="H150" s="550">
        <v>0</v>
      </c>
      <c r="I150" s="550">
        <v>0</v>
      </c>
      <c r="J150" s="550">
        <v>0</v>
      </c>
      <c r="K150" s="550">
        <v>0</v>
      </c>
      <c r="L150" s="37"/>
      <c r="M150" s="7"/>
      <c r="R150" s="351"/>
    </row>
    <row r="151" spans="1:18" x14ac:dyDescent="0.25">
      <c r="A151" s="74">
        <v>9257028</v>
      </c>
      <c r="B151" t="s">
        <v>855</v>
      </c>
      <c r="C151" s="101" t="s">
        <v>357</v>
      </c>
      <c r="D151" s="101" t="s">
        <v>217</v>
      </c>
      <c r="F151" s="7">
        <v>0</v>
      </c>
      <c r="G151" s="7">
        <v>0</v>
      </c>
      <c r="H151" s="7">
        <v>0</v>
      </c>
      <c r="I151" s="7">
        <v>0</v>
      </c>
      <c r="J151" s="7">
        <v>0</v>
      </c>
      <c r="K151" s="7">
        <v>0</v>
      </c>
      <c r="L151" s="141">
        <v>0</v>
      </c>
      <c r="M151" s="140">
        <v>0</v>
      </c>
      <c r="R151" s="351"/>
    </row>
    <row r="152" spans="1:18" x14ac:dyDescent="0.25">
      <c r="A152" s="78"/>
      <c r="C152" s="101"/>
      <c r="D152" s="101" t="s">
        <v>401</v>
      </c>
      <c r="F152" s="670">
        <v>0</v>
      </c>
      <c r="G152" s="670">
        <v>0</v>
      </c>
      <c r="H152" s="670">
        <v>0</v>
      </c>
      <c r="I152" s="670">
        <v>0</v>
      </c>
      <c r="J152" s="670">
        <v>0</v>
      </c>
      <c r="K152" s="670">
        <v>0</v>
      </c>
      <c r="L152" s="7"/>
      <c r="M152" s="7"/>
      <c r="R152" s="351"/>
    </row>
    <row r="153" spans="1:18" x14ac:dyDescent="0.25">
      <c r="A153" s="171"/>
      <c r="B153" s="171" t="s">
        <v>71</v>
      </c>
      <c r="C153" s="171"/>
      <c r="D153" s="171"/>
      <c r="E153" s="172"/>
      <c r="F153" s="173"/>
      <c r="G153" s="173"/>
      <c r="H153" s="173"/>
      <c r="I153" s="173"/>
      <c r="J153" s="173"/>
      <c r="K153" s="173"/>
      <c r="L153" s="173"/>
      <c r="M153" s="173"/>
      <c r="N153" s="172"/>
      <c r="O153" s="172"/>
      <c r="P153" s="172"/>
      <c r="Q153" s="172"/>
    </row>
    <row r="154" spans="1:18" x14ac:dyDescent="0.25">
      <c r="A154" s="74">
        <v>9257021</v>
      </c>
      <c r="B154" t="s">
        <v>886</v>
      </c>
      <c r="C154" s="101" t="s">
        <v>305</v>
      </c>
      <c r="D154" s="101" t="s">
        <v>346</v>
      </c>
      <c r="E154" s="37">
        <v>144.8835880256951</v>
      </c>
      <c r="F154" s="548">
        <v>44.189814814814817</v>
      </c>
      <c r="G154" s="548">
        <v>55.973765432098773</v>
      </c>
      <c r="H154" s="548">
        <v>13.297256097560975</v>
      </c>
      <c r="I154" s="548">
        <v>6.8739711934156382</v>
      </c>
      <c r="J154" s="548">
        <v>9.2057926829268286</v>
      </c>
      <c r="K154" s="548">
        <v>15.342987804878048</v>
      </c>
      <c r="L154" s="37">
        <v>0.98199588477366251</v>
      </c>
      <c r="N154" s="7"/>
      <c r="O154" s="140">
        <v>12937.523007891316</v>
      </c>
      <c r="R154" s="351"/>
    </row>
    <row r="155" spans="1:18" x14ac:dyDescent="0.25">
      <c r="A155" s="74">
        <v>9257021</v>
      </c>
      <c r="B155" t="s">
        <v>856</v>
      </c>
      <c r="C155" s="101" t="s">
        <v>306</v>
      </c>
      <c r="D155" t="s">
        <v>856</v>
      </c>
      <c r="E155" s="37">
        <v>174.25</v>
      </c>
      <c r="F155" s="549">
        <v>43.817251461988299</v>
      </c>
      <c r="G155" s="549">
        <v>82.53947368421052</v>
      </c>
      <c r="H155" s="549">
        <v>16.30409356725146</v>
      </c>
      <c r="I155" s="549">
        <v>13.247076023391813</v>
      </c>
      <c r="J155" s="549">
        <v>6.1140350877192979</v>
      </c>
      <c r="K155" s="549">
        <v>10.190058479532164</v>
      </c>
      <c r="L155" s="169">
        <v>2.0380116959064325</v>
      </c>
      <c r="N155" s="7"/>
      <c r="R155" s="351"/>
    </row>
    <row r="156" spans="1:18" x14ac:dyDescent="0.25">
      <c r="A156" s="74">
        <v>9257021</v>
      </c>
      <c r="B156" t="s">
        <v>857</v>
      </c>
      <c r="F156" s="170">
        <v>-0.37256335282651776</v>
      </c>
      <c r="G156" s="170">
        <v>26.565708252111747</v>
      </c>
      <c r="H156" s="170">
        <v>3.0068374696904847</v>
      </c>
      <c r="I156" s="170">
        <v>6.3731048299761746</v>
      </c>
      <c r="J156" s="170">
        <v>-3.0917575952075307</v>
      </c>
      <c r="K156" s="170">
        <v>-5.1529293253458839</v>
      </c>
      <c r="R156" s="351"/>
    </row>
    <row r="157" spans="1:18" x14ac:dyDescent="0.25">
      <c r="A157" s="74">
        <v>9257021</v>
      </c>
      <c r="B157" t="s">
        <v>858</v>
      </c>
      <c r="C157" s="101" t="s">
        <v>349</v>
      </c>
      <c r="D157" s="101" t="s">
        <v>346</v>
      </c>
      <c r="F157" s="549">
        <v>43.817251461988299</v>
      </c>
      <c r="G157" s="549">
        <v>55.973765432098773</v>
      </c>
      <c r="H157" s="549">
        <v>13.297256097560975</v>
      </c>
      <c r="I157" s="549">
        <v>6.8739711934156382</v>
      </c>
      <c r="J157" s="549">
        <v>6.1140350877192979</v>
      </c>
      <c r="K157" s="549">
        <v>10.190058479532164</v>
      </c>
      <c r="L157" s="37"/>
      <c r="M157" s="7"/>
      <c r="O157" s="7"/>
      <c r="P157" s="7"/>
      <c r="R157" s="351"/>
    </row>
    <row r="158" spans="1:18" x14ac:dyDescent="0.25">
      <c r="A158" s="74"/>
      <c r="B158" t="s">
        <v>388</v>
      </c>
      <c r="C158" s="101" t="s">
        <v>305</v>
      </c>
      <c r="D158" s="101" t="s">
        <v>351</v>
      </c>
      <c r="F158" s="140">
        <v>135.72583614833866</v>
      </c>
      <c r="G158" s="140">
        <v>123.9835017233022</v>
      </c>
      <c r="H158" s="140">
        <v>0</v>
      </c>
      <c r="I158" s="140">
        <v>0</v>
      </c>
      <c r="J158" s="140">
        <v>0</v>
      </c>
      <c r="K158" s="140">
        <v>0</v>
      </c>
      <c r="L158" s="37"/>
      <c r="M158" s="7"/>
      <c r="O158" s="7"/>
      <c r="P158" s="7"/>
      <c r="R158" s="351"/>
    </row>
    <row r="159" spans="1:18" x14ac:dyDescent="0.25">
      <c r="A159" s="74">
        <v>9257021</v>
      </c>
      <c r="B159" t="s">
        <v>859</v>
      </c>
      <c r="C159" s="101" t="s">
        <v>353</v>
      </c>
      <c r="D159" s="101" t="s">
        <v>354</v>
      </c>
      <c r="F159" s="550">
        <v>150.01676778686306</v>
      </c>
      <c r="G159" s="550">
        <v>180.02012134423603</v>
      </c>
      <c r="H159" s="550">
        <v>418.69476201554426</v>
      </c>
      <c r="I159" s="550">
        <v>429.59609436588289</v>
      </c>
      <c r="J159" s="550">
        <v>429.59609436588289</v>
      </c>
      <c r="K159" s="550">
        <v>436.41416403078438</v>
      </c>
      <c r="L159" s="37"/>
      <c r="M159" s="7"/>
      <c r="R159" s="351"/>
    </row>
    <row r="160" spans="1:18" x14ac:dyDescent="0.25">
      <c r="A160" s="74"/>
      <c r="B160" t="s">
        <v>389</v>
      </c>
      <c r="C160" s="101" t="s">
        <v>306</v>
      </c>
      <c r="D160" s="101" t="s">
        <v>351</v>
      </c>
      <c r="F160" s="550">
        <v>0</v>
      </c>
      <c r="G160" s="550">
        <v>0</v>
      </c>
      <c r="H160" s="550">
        <v>0</v>
      </c>
      <c r="I160" s="550">
        <v>0</v>
      </c>
      <c r="J160" s="550">
        <v>0</v>
      </c>
      <c r="K160" s="550">
        <v>0</v>
      </c>
      <c r="L160" s="37"/>
      <c r="M160" s="7"/>
      <c r="R160" s="351"/>
    </row>
    <row r="161" spans="1:18" x14ac:dyDescent="0.25">
      <c r="A161" s="74">
        <v>9257021</v>
      </c>
      <c r="B161" t="s">
        <v>860</v>
      </c>
      <c r="C161" s="101" t="s">
        <v>357</v>
      </c>
      <c r="D161" s="101" t="s">
        <v>217</v>
      </c>
      <c r="F161" s="7">
        <v>0</v>
      </c>
      <c r="G161" s="7">
        <v>0</v>
      </c>
      <c r="H161" s="7">
        <v>0</v>
      </c>
      <c r="I161" s="7">
        <v>0</v>
      </c>
      <c r="J161" s="7">
        <v>0</v>
      </c>
      <c r="K161" s="7">
        <v>0</v>
      </c>
      <c r="L161" s="141">
        <v>0</v>
      </c>
      <c r="M161" s="140">
        <v>-12937.523007891316</v>
      </c>
      <c r="R161" s="351"/>
    </row>
    <row r="162" spans="1:18" x14ac:dyDescent="0.25">
      <c r="A162" s="78"/>
      <c r="C162" s="101"/>
      <c r="D162" s="101" t="s">
        <v>401</v>
      </c>
      <c r="F162" s="670">
        <v>0</v>
      </c>
      <c r="G162" s="670">
        <v>0</v>
      </c>
      <c r="H162" s="670">
        <v>0</v>
      </c>
      <c r="I162" s="670">
        <v>0</v>
      </c>
      <c r="J162" s="670">
        <v>0</v>
      </c>
      <c r="K162" s="670">
        <v>0</v>
      </c>
      <c r="L162" s="7"/>
      <c r="M162" s="7"/>
      <c r="R162" s="351"/>
    </row>
    <row r="163" spans="1:18" x14ac:dyDescent="0.25">
      <c r="A163" s="171"/>
      <c r="B163" s="171" t="s">
        <v>72</v>
      </c>
      <c r="C163" s="171"/>
      <c r="D163" s="171"/>
      <c r="E163" s="172"/>
      <c r="F163" s="173"/>
      <c r="G163" s="173"/>
      <c r="H163" s="173"/>
      <c r="I163" s="173"/>
      <c r="J163" s="173"/>
      <c r="K163" s="173"/>
      <c r="L163" s="173"/>
      <c r="M163" s="173"/>
      <c r="N163" s="172"/>
      <c r="O163" s="172"/>
      <c r="P163" s="172"/>
      <c r="Q163" s="172"/>
    </row>
    <row r="164" spans="1:18" x14ac:dyDescent="0.25">
      <c r="A164" s="74">
        <v>9257015</v>
      </c>
      <c r="B164" t="s">
        <v>887</v>
      </c>
      <c r="C164" s="101" t="s">
        <v>305</v>
      </c>
      <c r="D164" s="101" t="s">
        <v>346</v>
      </c>
      <c r="E164" s="37">
        <v>0</v>
      </c>
      <c r="F164" s="548">
        <v>0</v>
      </c>
      <c r="G164" s="548">
        <v>0</v>
      </c>
      <c r="H164" s="548">
        <v>0</v>
      </c>
      <c r="I164" s="548">
        <v>0</v>
      </c>
      <c r="J164" s="548">
        <v>0</v>
      </c>
      <c r="K164" s="548">
        <v>0</v>
      </c>
      <c r="L164" s="37">
        <v>0</v>
      </c>
      <c r="N164" s="7"/>
      <c r="O164" s="140">
        <v>0</v>
      </c>
      <c r="R164" s="351"/>
    </row>
    <row r="165" spans="1:18" x14ac:dyDescent="0.25">
      <c r="A165" s="74">
        <v>9257015</v>
      </c>
      <c r="B165" t="s">
        <v>861</v>
      </c>
      <c r="C165" s="101" t="s">
        <v>306</v>
      </c>
      <c r="D165" t="s">
        <v>861</v>
      </c>
      <c r="E165" s="37">
        <v>226.5</v>
      </c>
      <c r="F165" s="549">
        <v>71.473333333333329</v>
      </c>
      <c r="G165" s="549">
        <v>87.58</v>
      </c>
      <c r="H165" s="549">
        <v>4.0266666666666664</v>
      </c>
      <c r="I165" s="549">
        <v>21.14</v>
      </c>
      <c r="J165" s="549">
        <v>4.0266666666666664</v>
      </c>
      <c r="K165" s="549">
        <v>36.24</v>
      </c>
      <c r="L165" s="169">
        <v>2.0133333333333332</v>
      </c>
      <c r="N165" s="7"/>
      <c r="R165" s="351"/>
    </row>
    <row r="166" spans="1:18" x14ac:dyDescent="0.25">
      <c r="A166" s="74">
        <v>9257015</v>
      </c>
      <c r="B166" t="s">
        <v>862</v>
      </c>
      <c r="F166" s="170">
        <v>71.473333333333329</v>
      </c>
      <c r="G166" s="170">
        <v>87.58</v>
      </c>
      <c r="H166" s="170">
        <v>4.0266666666666664</v>
      </c>
      <c r="I166" s="170">
        <v>21.14</v>
      </c>
      <c r="J166" s="170">
        <v>4.0266666666666664</v>
      </c>
      <c r="K166" s="170">
        <v>36.24</v>
      </c>
      <c r="L166" s="169"/>
      <c r="R166" s="351"/>
    </row>
    <row r="167" spans="1:18" x14ac:dyDescent="0.25">
      <c r="A167" s="74">
        <v>9257015</v>
      </c>
      <c r="B167" t="s">
        <v>863</v>
      </c>
      <c r="C167" s="101" t="s">
        <v>349</v>
      </c>
      <c r="D167" s="101" t="s">
        <v>346</v>
      </c>
      <c r="F167" s="549">
        <v>0</v>
      </c>
      <c r="G167" s="549">
        <v>0</v>
      </c>
      <c r="H167" s="549">
        <v>0</v>
      </c>
      <c r="I167" s="549">
        <v>0</v>
      </c>
      <c r="J167" s="549">
        <v>0</v>
      </c>
      <c r="K167" s="549">
        <v>0</v>
      </c>
      <c r="L167" s="37"/>
      <c r="M167" s="7"/>
      <c r="O167" s="7"/>
      <c r="P167" s="7"/>
      <c r="R167" s="351"/>
    </row>
    <row r="168" spans="1:18" x14ac:dyDescent="0.25">
      <c r="A168" s="74"/>
      <c r="B168" t="s">
        <v>390</v>
      </c>
      <c r="C168" s="101" t="s">
        <v>305</v>
      </c>
      <c r="D168" s="101" t="s">
        <v>351</v>
      </c>
      <c r="F168" s="140">
        <v>0</v>
      </c>
      <c r="G168" s="140">
        <v>0</v>
      </c>
      <c r="H168" s="140">
        <v>0</v>
      </c>
      <c r="I168" s="140">
        <v>0</v>
      </c>
      <c r="J168" s="140">
        <v>0</v>
      </c>
      <c r="K168" s="140">
        <v>0</v>
      </c>
      <c r="L168" s="37"/>
      <c r="M168" s="7"/>
      <c r="O168" s="7"/>
      <c r="P168" s="7"/>
      <c r="R168" s="351"/>
    </row>
    <row r="169" spans="1:18" x14ac:dyDescent="0.25">
      <c r="A169" s="74">
        <v>9257015</v>
      </c>
      <c r="B169" t="s">
        <v>864</v>
      </c>
      <c r="C169" s="101" t="s">
        <v>353</v>
      </c>
      <c r="D169" s="101" t="s">
        <v>354</v>
      </c>
      <c r="F169" s="550">
        <v>150.01676778686306</v>
      </c>
      <c r="G169" s="550">
        <v>180.02012134423603</v>
      </c>
      <c r="H169" s="550">
        <v>418.69476201554426</v>
      </c>
      <c r="I169" s="550">
        <v>429.59609436588289</v>
      </c>
      <c r="J169" s="550">
        <v>429.59609436588289</v>
      </c>
      <c r="K169" s="550">
        <v>436.41416403078438</v>
      </c>
      <c r="L169" s="37"/>
      <c r="M169" s="7"/>
      <c r="R169" s="351"/>
    </row>
    <row r="170" spans="1:18" x14ac:dyDescent="0.25">
      <c r="A170" s="74"/>
      <c r="B170" t="s">
        <v>391</v>
      </c>
      <c r="C170" s="101" t="s">
        <v>306</v>
      </c>
      <c r="D170" s="101" t="s">
        <v>351</v>
      </c>
      <c r="F170" s="550">
        <v>0</v>
      </c>
      <c r="G170" s="550">
        <v>0</v>
      </c>
      <c r="H170" s="550">
        <v>0</v>
      </c>
      <c r="I170" s="550">
        <v>0</v>
      </c>
      <c r="J170" s="550">
        <v>0</v>
      </c>
      <c r="K170" s="550">
        <v>0</v>
      </c>
      <c r="L170" s="37"/>
      <c r="M170" s="7"/>
      <c r="R170" s="351"/>
    </row>
    <row r="171" spans="1:18" x14ac:dyDescent="0.25">
      <c r="A171" s="74">
        <v>9257015</v>
      </c>
      <c r="B171" t="s">
        <v>865</v>
      </c>
      <c r="C171" s="101" t="s">
        <v>357</v>
      </c>
      <c r="D171" s="101" t="s">
        <v>217</v>
      </c>
      <c r="F171" s="7">
        <v>0</v>
      </c>
      <c r="G171" s="7">
        <v>0</v>
      </c>
      <c r="H171" s="7">
        <v>0</v>
      </c>
      <c r="I171" s="7">
        <v>0</v>
      </c>
      <c r="J171" s="7">
        <v>0</v>
      </c>
      <c r="K171" s="7">
        <v>0</v>
      </c>
      <c r="L171" s="141">
        <v>0</v>
      </c>
      <c r="M171" s="140">
        <v>0</v>
      </c>
      <c r="R171" s="351"/>
    </row>
    <row r="172" spans="1:18" x14ac:dyDescent="0.25">
      <c r="A172" s="78"/>
      <c r="C172" s="101"/>
      <c r="D172" s="101" t="s">
        <v>401</v>
      </c>
      <c r="F172" s="670">
        <v>0</v>
      </c>
      <c r="G172" s="670">
        <v>0</v>
      </c>
      <c r="H172" s="670">
        <v>0</v>
      </c>
      <c r="I172" s="670">
        <v>0</v>
      </c>
      <c r="J172" s="670">
        <v>0</v>
      </c>
      <c r="K172" s="670">
        <v>0</v>
      </c>
      <c r="L172" s="7"/>
      <c r="M172" s="7"/>
      <c r="R172" s="351"/>
    </row>
    <row r="173" spans="1:18" x14ac:dyDescent="0.25">
      <c r="A173" s="171"/>
      <c r="B173" s="171" t="s">
        <v>73</v>
      </c>
      <c r="C173" s="171"/>
      <c r="D173" s="171"/>
      <c r="E173" s="172"/>
      <c r="F173" s="173"/>
      <c r="G173" s="173"/>
      <c r="H173" s="173"/>
      <c r="I173" s="173"/>
      <c r="J173" s="173"/>
      <c r="K173" s="173"/>
      <c r="L173" s="173"/>
      <c r="M173" s="173"/>
      <c r="N173" s="172"/>
      <c r="O173" s="172"/>
      <c r="P173" s="172"/>
      <c r="Q173" s="172"/>
    </row>
    <row r="174" spans="1:18" x14ac:dyDescent="0.25">
      <c r="A174" s="74">
        <v>9257016</v>
      </c>
      <c r="B174" t="s">
        <v>888</v>
      </c>
      <c r="C174" s="101" t="s">
        <v>305</v>
      </c>
      <c r="D174" s="101" t="s">
        <v>346</v>
      </c>
      <c r="E174" s="37">
        <v>0</v>
      </c>
      <c r="F174" s="548">
        <v>0</v>
      </c>
      <c r="G174" s="548">
        <v>0</v>
      </c>
      <c r="H174" s="548">
        <v>0</v>
      </c>
      <c r="I174" s="548">
        <v>0</v>
      </c>
      <c r="J174" s="548">
        <v>0</v>
      </c>
      <c r="K174" s="548">
        <v>0</v>
      </c>
      <c r="L174" s="37">
        <v>0</v>
      </c>
      <c r="N174" s="7"/>
      <c r="O174" s="140">
        <v>0</v>
      </c>
      <c r="R174" s="351"/>
    </row>
    <row r="175" spans="1:18" x14ac:dyDescent="0.25">
      <c r="A175" s="74">
        <v>9257016</v>
      </c>
      <c r="B175" t="s">
        <v>866</v>
      </c>
      <c r="C175" s="101" t="s">
        <v>306</v>
      </c>
      <c r="D175" t="s">
        <v>866</v>
      </c>
      <c r="E175" s="37">
        <v>164.75</v>
      </c>
      <c r="F175" s="549">
        <v>25.268404907975462</v>
      </c>
      <c r="G175" s="549">
        <v>31.332822085889571</v>
      </c>
      <c r="H175" s="549">
        <v>2.0214723926380369</v>
      </c>
      <c r="I175" s="549">
        <v>37.397239263803677</v>
      </c>
      <c r="J175" s="549">
        <v>30.322085889570552</v>
      </c>
      <c r="K175" s="549">
        <v>3.0322085889570554</v>
      </c>
      <c r="L175" s="169">
        <v>35.375766871165645</v>
      </c>
      <c r="N175" s="7"/>
      <c r="R175" s="351"/>
    </row>
    <row r="176" spans="1:18" x14ac:dyDescent="0.25">
      <c r="A176" s="74">
        <v>9257016</v>
      </c>
      <c r="B176" t="s">
        <v>867</v>
      </c>
      <c r="F176" s="170">
        <v>25.268404907975462</v>
      </c>
      <c r="G176" s="170">
        <v>31.332822085889571</v>
      </c>
      <c r="H176" s="170">
        <v>2.0214723926380369</v>
      </c>
      <c r="I176" s="170">
        <v>37.397239263803677</v>
      </c>
      <c r="J176" s="170">
        <v>30.322085889570552</v>
      </c>
      <c r="K176" s="170">
        <v>3.0322085889570554</v>
      </c>
      <c r="R176" s="351"/>
    </row>
    <row r="177" spans="1:18" x14ac:dyDescent="0.25">
      <c r="A177" s="74">
        <v>9257016</v>
      </c>
      <c r="B177" t="s">
        <v>868</v>
      </c>
      <c r="C177" s="101" t="s">
        <v>349</v>
      </c>
      <c r="D177" s="101" t="s">
        <v>346</v>
      </c>
      <c r="F177" s="549">
        <v>0</v>
      </c>
      <c r="G177" s="549">
        <v>0</v>
      </c>
      <c r="H177" s="549">
        <v>0</v>
      </c>
      <c r="I177" s="549">
        <v>0</v>
      </c>
      <c r="J177" s="549">
        <v>0</v>
      </c>
      <c r="K177" s="549">
        <v>0</v>
      </c>
      <c r="L177" s="37"/>
      <c r="M177" s="7"/>
      <c r="O177" s="7"/>
      <c r="P177" s="7"/>
      <c r="R177" s="351"/>
    </row>
    <row r="178" spans="1:18" x14ac:dyDescent="0.25">
      <c r="A178" s="74"/>
      <c r="B178" t="s">
        <v>392</v>
      </c>
      <c r="C178" s="101" t="s">
        <v>305</v>
      </c>
      <c r="D178" s="101" t="s">
        <v>351</v>
      </c>
      <c r="F178" s="140">
        <v>0</v>
      </c>
      <c r="G178" s="140">
        <v>0</v>
      </c>
      <c r="H178" s="140">
        <v>0</v>
      </c>
      <c r="I178" s="140">
        <v>0</v>
      </c>
      <c r="J178" s="140">
        <v>0</v>
      </c>
      <c r="K178" s="140">
        <v>0</v>
      </c>
      <c r="L178" s="37"/>
      <c r="M178" s="7"/>
      <c r="O178" s="7"/>
      <c r="P178" s="7"/>
      <c r="R178" s="351"/>
    </row>
    <row r="179" spans="1:18" x14ac:dyDescent="0.25">
      <c r="A179" s="74">
        <v>9257016</v>
      </c>
      <c r="B179" t="s">
        <v>869</v>
      </c>
      <c r="C179" s="101" t="s">
        <v>353</v>
      </c>
      <c r="D179" s="101" t="s">
        <v>354</v>
      </c>
      <c r="F179" s="550">
        <v>150.01676778686306</v>
      </c>
      <c r="G179" s="550">
        <v>180.02012134423603</v>
      </c>
      <c r="H179" s="550">
        <v>418.69476201554426</v>
      </c>
      <c r="I179" s="550">
        <v>429.59609436588289</v>
      </c>
      <c r="J179" s="550">
        <v>429.59609436588289</v>
      </c>
      <c r="K179" s="550">
        <v>436.41416403078438</v>
      </c>
      <c r="L179" s="37"/>
      <c r="M179" s="7"/>
      <c r="R179" s="351"/>
    </row>
    <row r="180" spans="1:18" x14ac:dyDescent="0.25">
      <c r="A180" s="74"/>
      <c r="B180" t="s">
        <v>393</v>
      </c>
      <c r="C180" s="101" t="s">
        <v>306</v>
      </c>
      <c r="D180" s="101" t="s">
        <v>351</v>
      </c>
      <c r="F180" s="550">
        <v>0</v>
      </c>
      <c r="G180" s="550">
        <v>0</v>
      </c>
      <c r="H180" s="550">
        <v>0</v>
      </c>
      <c r="I180" s="550">
        <v>0</v>
      </c>
      <c r="J180" s="550">
        <v>0</v>
      </c>
      <c r="K180" s="550">
        <v>0</v>
      </c>
      <c r="L180" s="37"/>
      <c r="M180" s="7"/>
      <c r="R180" s="351"/>
    </row>
    <row r="181" spans="1:18" x14ac:dyDescent="0.25">
      <c r="A181" s="74">
        <v>9257016</v>
      </c>
      <c r="B181" t="s">
        <v>870</v>
      </c>
      <c r="C181" s="101" t="s">
        <v>357</v>
      </c>
      <c r="D181" s="101" t="s">
        <v>217</v>
      </c>
      <c r="F181" s="7">
        <v>0</v>
      </c>
      <c r="G181" s="7">
        <v>0</v>
      </c>
      <c r="H181" s="7">
        <v>0</v>
      </c>
      <c r="I181" s="7">
        <v>0</v>
      </c>
      <c r="J181" s="7">
        <v>0</v>
      </c>
      <c r="K181" s="7">
        <v>0</v>
      </c>
      <c r="L181" s="141">
        <v>0</v>
      </c>
      <c r="M181" s="140">
        <v>0</v>
      </c>
      <c r="R181" s="351"/>
    </row>
    <row r="182" spans="1:18" x14ac:dyDescent="0.25">
      <c r="A182" s="78"/>
      <c r="C182" s="101"/>
      <c r="D182" s="101" t="s">
        <v>401</v>
      </c>
      <c r="F182" s="670">
        <v>0</v>
      </c>
      <c r="G182" s="670">
        <v>0</v>
      </c>
      <c r="H182" s="670">
        <v>0</v>
      </c>
      <c r="I182" s="670">
        <v>0</v>
      </c>
      <c r="J182" s="670">
        <v>0</v>
      </c>
      <c r="K182" s="670">
        <v>0</v>
      </c>
      <c r="L182" s="7"/>
      <c r="M182" s="7"/>
      <c r="R182" s="351"/>
    </row>
    <row r="183" spans="1:18" x14ac:dyDescent="0.25">
      <c r="A183" s="171"/>
      <c r="B183" s="171"/>
      <c r="C183" s="171"/>
      <c r="D183" s="171"/>
      <c r="E183" s="172"/>
      <c r="F183" s="173"/>
      <c r="G183" s="173"/>
      <c r="H183" s="173"/>
      <c r="I183" s="173"/>
      <c r="J183" s="173"/>
      <c r="K183" s="173"/>
      <c r="L183" s="173"/>
      <c r="M183" s="173"/>
      <c r="N183" s="172"/>
      <c r="O183" s="172"/>
      <c r="P183" s="172"/>
      <c r="Q183" s="172"/>
    </row>
    <row r="185" spans="1:18" x14ac:dyDescent="0.25">
      <c r="E185"/>
      <c r="F185"/>
      <c r="G185"/>
      <c r="H185"/>
      <c r="I185"/>
      <c r="J185" s="109" t="s">
        <v>402</v>
      </c>
      <c r="K185"/>
      <c r="L185" s="141">
        <v>91355.174520499058</v>
      </c>
      <c r="M185"/>
      <c r="N185"/>
      <c r="O185"/>
      <c r="P185"/>
      <c r="Q185"/>
      <c r="R185"/>
    </row>
    <row r="187" spans="1:18" x14ac:dyDescent="0.25">
      <c r="J187" s="109" t="s">
        <v>403</v>
      </c>
      <c r="L187" s="7">
        <v>267331.04437925667</v>
      </c>
    </row>
    <row r="189" spans="1:18" x14ac:dyDescent="0.25">
      <c r="J189" s="109" t="s">
        <v>396</v>
      </c>
      <c r="L189" s="7">
        <v>-175975.86985875759</v>
      </c>
    </row>
  </sheetData>
  <conditionalFormatting sqref="L189">
    <cfRule type="cellIs" dxfId="3" priority="1" operator="lessThan">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1B2D-AC2F-45D4-B907-E97F9D7DA941}">
  <sheetPr>
    <tabColor theme="8" tint="0.39997558519241921"/>
  </sheetPr>
  <dimension ref="A3:Y188"/>
  <sheetViews>
    <sheetView topLeftCell="A151" workbookViewId="0">
      <selection activeCell="F9" sqref="F9:K9"/>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60</v>
      </c>
      <c r="E3" s="2" t="s">
        <v>34</v>
      </c>
      <c r="F3" s="2" t="s">
        <v>229</v>
      </c>
      <c r="G3" s="2" t="s">
        <v>230</v>
      </c>
      <c r="H3" s="109" t="s">
        <v>345</v>
      </c>
      <c r="I3" s="2" t="s">
        <v>232</v>
      </c>
      <c r="J3" s="2" t="s">
        <v>233</v>
      </c>
      <c r="K3" s="2" t="s">
        <v>234</v>
      </c>
      <c r="L3" s="109" t="s">
        <v>235</v>
      </c>
      <c r="R3"/>
      <c r="T3" s="552"/>
      <c r="U3" s="552"/>
    </row>
    <row r="4" spans="1:25" ht="13" x14ac:dyDescent="0.3">
      <c r="A4" s="74">
        <v>9257010</v>
      </c>
      <c r="B4" t="str">
        <f>CONCATENATE(A4,C4)</f>
        <v>92570102022/23</v>
      </c>
      <c r="C4" s="672" t="s">
        <v>306</v>
      </c>
      <c r="D4" s="101" t="s">
        <v>346</v>
      </c>
      <c r="E4" s="37">
        <f>SUM(F4:K4)</f>
        <v>21.980621693121694</v>
      </c>
      <c r="F4" s="670">
        <f>'2223 MFG Protection'!F12</f>
        <v>1.3597883597883598</v>
      </c>
      <c r="G4" s="670">
        <f>'2223 MFG Protection'!G12</f>
        <v>20.620833333333334</v>
      </c>
      <c r="H4" s="670">
        <f>'2223 MFG Protection'!H12</f>
        <v>0</v>
      </c>
      <c r="I4" s="670">
        <f>'2223 MFG Protection'!I12</f>
        <v>0</v>
      </c>
      <c r="J4" s="670">
        <f>'2223 MFG Protection'!J12</f>
        <v>0</v>
      </c>
      <c r="K4" s="670">
        <f>'2223 MFG Protection'!K12</f>
        <v>0</v>
      </c>
      <c r="L4" s="37"/>
      <c r="N4" s="7"/>
      <c r="O4" s="140">
        <f>'2223 MFG Protection'!L11</f>
        <v>2325.8415308553208</v>
      </c>
      <c r="P4" s="152" t="s">
        <v>347</v>
      </c>
      <c r="R4" s="354"/>
      <c r="T4" s="553" t="s">
        <v>348</v>
      </c>
      <c r="U4" s="552"/>
      <c r="V4" s="58"/>
      <c r="W4" s="58"/>
      <c r="X4" s="58"/>
      <c r="Y4" s="58"/>
    </row>
    <row r="5" spans="1:25" ht="12.75" customHeight="1" x14ac:dyDescent="0.25">
      <c r="A5" s="74">
        <v>9257010</v>
      </c>
      <c r="B5" t="str">
        <f>CONCATENATE(A5,C5)</f>
        <v>92570102023/24</v>
      </c>
      <c r="C5" s="101" t="s">
        <v>312</v>
      </c>
      <c r="E5" s="37">
        <f>VLOOKUP(A5,'2324 Funding Detail'!$A$4:$M$20,13,(FALSE))</f>
        <v>139.33333333333334</v>
      </c>
      <c r="F5" s="549">
        <f>$E$5*'2324 Band Calculations'!D6</f>
        <v>14.961968680089486</v>
      </c>
      <c r="G5" s="549">
        <f>$E$5*'2324 Band Calculations'!E6</f>
        <v>62.653243847874727</v>
      </c>
      <c r="H5" s="549">
        <f>$E$5*'2324 Band Calculations'!F6</f>
        <v>8.4161073825503365</v>
      </c>
      <c r="I5" s="549">
        <f>$E$5*'2324 Band Calculations'!G6</f>
        <v>22.44295302013423</v>
      </c>
      <c r="J5" s="549">
        <f>$E$5*'2324 Band Calculations'!H6</f>
        <v>10.286353467561522</v>
      </c>
      <c r="K5" s="549">
        <f>$E$5*'2324 Band Calculations'!I6</f>
        <v>9.3512304250559293</v>
      </c>
      <c r="L5" s="169">
        <f>$E$5*'2324 Band Calculations'!J6</f>
        <v>11.221476510067115</v>
      </c>
      <c r="N5" s="7"/>
      <c r="O5" s="7"/>
      <c r="P5" s="7"/>
      <c r="R5" s="354"/>
      <c r="T5" s="554"/>
      <c r="U5" s="554"/>
      <c r="V5" s="551"/>
      <c r="W5" s="551"/>
      <c r="X5" s="551"/>
      <c r="Y5" s="551"/>
    </row>
    <row r="6" spans="1:25" x14ac:dyDescent="0.25">
      <c r="A6" s="74">
        <v>9257010</v>
      </c>
      <c r="B6" t="str">
        <f t="shared" ref="B6:B11" si="0">CONCATENATE(A6,C6)</f>
        <v>9257010</v>
      </c>
      <c r="F6" s="170">
        <f>F5-F4</f>
        <v>13.602180320301127</v>
      </c>
      <c r="G6" s="170">
        <f t="shared" ref="G6:K6" si="1">G5-G4</f>
        <v>42.032410514541397</v>
      </c>
      <c r="H6" s="170">
        <f t="shared" si="1"/>
        <v>8.4161073825503365</v>
      </c>
      <c r="I6" s="170">
        <f t="shared" si="1"/>
        <v>22.44295302013423</v>
      </c>
      <c r="J6" s="170">
        <f t="shared" si="1"/>
        <v>10.286353467561522</v>
      </c>
      <c r="K6" s="170">
        <f t="shared" si="1"/>
        <v>9.3512304250559293</v>
      </c>
      <c r="N6" s="7"/>
      <c r="O6" s="7"/>
      <c r="P6" s="7"/>
      <c r="R6" s="354"/>
      <c r="T6" s="554"/>
      <c r="U6" s="554"/>
      <c r="V6" s="551"/>
      <c r="W6" s="551"/>
      <c r="X6" s="551"/>
      <c r="Y6" s="551"/>
    </row>
    <row r="7" spans="1:25" x14ac:dyDescent="0.25">
      <c r="A7" s="74">
        <v>9257010</v>
      </c>
      <c r="B7" t="str">
        <f t="shared" si="0"/>
        <v>9257010a</v>
      </c>
      <c r="C7" s="101" t="s">
        <v>349</v>
      </c>
      <c r="D7" s="101" t="s">
        <v>346</v>
      </c>
      <c r="F7" s="549">
        <f>IF(F4&gt;F5,(F5),(F4))</f>
        <v>1.3597883597883598</v>
      </c>
      <c r="G7" s="549">
        <f t="shared" ref="G7:K7" si="2">IF(G4&gt;G5,(G5),(G4))</f>
        <v>20.620833333333334</v>
      </c>
      <c r="H7" s="549">
        <f t="shared" si="2"/>
        <v>0</v>
      </c>
      <c r="I7" s="549">
        <f t="shared" si="2"/>
        <v>0</v>
      </c>
      <c r="J7" s="549">
        <f t="shared" si="2"/>
        <v>0</v>
      </c>
      <c r="K7" s="549">
        <f t="shared" si="2"/>
        <v>0</v>
      </c>
      <c r="L7" s="37"/>
      <c r="M7" s="7"/>
      <c r="N7" s="7"/>
      <c r="O7" s="7"/>
      <c r="P7" s="7"/>
      <c r="R7" s="354"/>
      <c r="T7" s="554"/>
      <c r="U7" s="554"/>
      <c r="V7" s="551"/>
      <c r="W7" s="551"/>
      <c r="X7" s="551"/>
      <c r="Y7" s="551"/>
    </row>
    <row r="8" spans="1:25" x14ac:dyDescent="0.25">
      <c r="A8" s="74">
        <v>9257010</v>
      </c>
      <c r="B8" s="101" t="s">
        <v>350</v>
      </c>
      <c r="C8" s="101" t="s">
        <v>306</v>
      </c>
      <c r="D8" s="101" t="s">
        <v>351</v>
      </c>
      <c r="F8" s="671">
        <f>'2223 MFG Protection'!F10</f>
        <v>144.97644559903938</v>
      </c>
      <c r="G8" s="671">
        <f>'2223 MFG Protection'!G10</f>
        <v>103.23075761662994</v>
      </c>
      <c r="H8" s="671">
        <f>'2223 MFG Protection'!H10</f>
        <v>0</v>
      </c>
      <c r="I8" s="671">
        <f>'2223 MFG Protection'!I10</f>
        <v>0</v>
      </c>
      <c r="J8" s="671">
        <f>'2223 MFG Protection'!J10</f>
        <v>0</v>
      </c>
      <c r="K8" s="671">
        <f>'2223 MFG Protection'!K10</f>
        <v>0</v>
      </c>
      <c r="L8" s="37"/>
      <c r="M8" s="152" t="s">
        <v>352</v>
      </c>
      <c r="N8" s="7"/>
      <c r="O8" s="7"/>
      <c r="P8" s="7"/>
      <c r="R8" s="354"/>
      <c r="T8" s="547"/>
      <c r="U8" s="547"/>
      <c r="V8" s="547"/>
      <c r="W8" s="547"/>
      <c r="X8" s="547"/>
      <c r="Y8" s="547"/>
    </row>
    <row r="9" spans="1:25" x14ac:dyDescent="0.25">
      <c r="A9" s="74">
        <v>9257010</v>
      </c>
      <c r="B9" t="str">
        <f>CONCATENATE(A9,C9)</f>
        <v>9257010b</v>
      </c>
      <c r="C9" s="101" t="s">
        <v>353</v>
      </c>
      <c r="D9" s="101" t="s">
        <v>354</v>
      </c>
      <c r="F9" s="671">
        <v>0</v>
      </c>
      <c r="G9" s="671">
        <v>0</v>
      </c>
      <c r="H9" s="671">
        <v>0</v>
      </c>
      <c r="I9" s="671">
        <v>0</v>
      </c>
      <c r="J9" s="671">
        <v>0</v>
      </c>
      <c r="K9" s="671">
        <v>0</v>
      </c>
      <c r="L9" s="37"/>
      <c r="M9" s="152" t="s">
        <v>355</v>
      </c>
      <c r="R9" s="354"/>
    </row>
    <row r="10" spans="1:25" x14ac:dyDescent="0.25">
      <c r="A10" s="74">
        <v>9257010</v>
      </c>
      <c r="B10" s="101" t="s">
        <v>356</v>
      </c>
      <c r="C10" s="101" t="s">
        <v>312</v>
      </c>
      <c r="D10" s="101" t="s">
        <v>351</v>
      </c>
      <c r="F10" s="550">
        <f>IF(F8-F9&gt;0,(F8-F9),(0))</f>
        <v>144.97644559903938</v>
      </c>
      <c r="G10" s="550">
        <f t="shared" ref="G10:K10" si="3">IF(G8-G9&gt;0,(G8-G9),(0))</f>
        <v>103.23075761662994</v>
      </c>
      <c r="H10" s="550">
        <f t="shared" si="3"/>
        <v>0</v>
      </c>
      <c r="I10" s="550">
        <f t="shared" si="3"/>
        <v>0</v>
      </c>
      <c r="J10" s="550">
        <f t="shared" si="3"/>
        <v>0</v>
      </c>
      <c r="K10" s="550">
        <f t="shared" si="3"/>
        <v>0</v>
      </c>
      <c r="L10" s="37"/>
      <c r="M10" s="152"/>
      <c r="R10" s="354"/>
    </row>
    <row r="11" spans="1:25" x14ac:dyDescent="0.25">
      <c r="A11" s="74">
        <v>9257010</v>
      </c>
      <c r="B11" t="str">
        <f t="shared" si="0"/>
        <v>9257010c</v>
      </c>
      <c r="C11" s="101" t="s">
        <v>357</v>
      </c>
      <c r="D11" s="101" t="s">
        <v>217</v>
      </c>
      <c r="F11" s="7">
        <f>IF(F10&lt;0,0,(F10*F7))</f>
        <v>197.13728316906412</v>
      </c>
      <c r="G11" s="7">
        <f t="shared" ref="G11:K11" si="4">IF(G10&lt;0,0,(G10*G7))</f>
        <v>2128.7042476862566</v>
      </c>
      <c r="H11" s="7">
        <f t="shared" si="4"/>
        <v>0</v>
      </c>
      <c r="I11" s="7">
        <f t="shared" si="4"/>
        <v>0</v>
      </c>
      <c r="J11" s="7">
        <f t="shared" si="4"/>
        <v>0</v>
      </c>
      <c r="K11" s="7">
        <f t="shared" si="4"/>
        <v>0</v>
      </c>
      <c r="L11" s="141">
        <f>SUM(F11:K11)</f>
        <v>2325.8415308553208</v>
      </c>
      <c r="M11" s="140">
        <f>L11-O4</f>
        <v>0</v>
      </c>
      <c r="R11" s="354"/>
    </row>
    <row r="12" spans="1:25" x14ac:dyDescent="0.25">
      <c r="A12" s="74"/>
      <c r="C12" s="101"/>
      <c r="D12" s="101" t="s">
        <v>401</v>
      </c>
      <c r="F12" s="670">
        <v>1.3597883597883598</v>
      </c>
      <c r="G12" s="670">
        <v>20.620833333333334</v>
      </c>
      <c r="H12" s="670">
        <v>0</v>
      </c>
      <c r="I12" s="670">
        <v>0</v>
      </c>
      <c r="J12" s="670">
        <v>0</v>
      </c>
      <c r="K12" s="670">
        <v>0</v>
      </c>
      <c r="L12" s="7"/>
      <c r="M12" s="7"/>
      <c r="R12" s="354"/>
    </row>
    <row r="13" spans="1:25" x14ac:dyDescent="0.25">
      <c r="A13" s="632"/>
      <c r="B13" s="633" t="s">
        <v>63</v>
      </c>
      <c r="C13" s="174"/>
      <c r="D13" s="174"/>
      <c r="E13" s="175"/>
      <c r="F13" s="176"/>
      <c r="G13" s="176"/>
      <c r="H13" s="176"/>
      <c r="I13" s="176"/>
      <c r="J13" s="176"/>
      <c r="K13" s="176"/>
      <c r="L13" s="176"/>
      <c r="M13" s="175"/>
      <c r="N13" s="175"/>
      <c r="O13" s="175"/>
      <c r="P13" s="175"/>
      <c r="Q13" s="175"/>
      <c r="R13"/>
    </row>
    <row r="14" spans="1:25" x14ac:dyDescent="0.25">
      <c r="A14" s="74">
        <v>9257005</v>
      </c>
      <c r="B14" t="str">
        <f>CONCATENATE(A14,C14)</f>
        <v>92570052022/23</v>
      </c>
      <c r="C14" s="672" t="s">
        <v>306</v>
      </c>
      <c r="D14" s="101" t="s">
        <v>346</v>
      </c>
      <c r="E14" s="37">
        <f>SUM(F14:K14)</f>
        <v>0</v>
      </c>
      <c r="F14" s="670">
        <f>'2223 MFG Protection'!F22</f>
        <v>0</v>
      </c>
      <c r="G14" s="670">
        <f>'2223 MFG Protection'!G22</f>
        <v>0</v>
      </c>
      <c r="H14" s="670">
        <f>'2223 MFG Protection'!H22</f>
        <v>0</v>
      </c>
      <c r="I14" s="670">
        <f>'2223 MFG Protection'!I22</f>
        <v>0</v>
      </c>
      <c r="J14" s="670">
        <f>'2223 MFG Protection'!J22</f>
        <v>0</v>
      </c>
      <c r="K14" s="670">
        <f>'2223 MFG Protection'!K22</f>
        <v>0</v>
      </c>
      <c r="L14" s="37"/>
      <c r="N14" s="7"/>
      <c r="O14" s="140">
        <f>'2223 MFG Protection'!L21</f>
        <v>0</v>
      </c>
      <c r="P14" s="7"/>
      <c r="R14" s="354"/>
    </row>
    <row r="15" spans="1:25" x14ac:dyDescent="0.25">
      <c r="A15" s="74">
        <v>9257005</v>
      </c>
      <c r="B15" t="str">
        <f>CONCATENATE(A15,C15)</f>
        <v>92570052023/24</v>
      </c>
      <c r="C15" s="101" t="s">
        <v>312</v>
      </c>
      <c r="D15" t="str">
        <f>CONCATENATE(A15,C15)</f>
        <v>92570052023/24</v>
      </c>
      <c r="E15" s="37">
        <f>VLOOKUP(A15,'2324 Funding Detail'!$A$4:$M$20,13,(FALSE))</f>
        <v>79.75</v>
      </c>
      <c r="F15" s="549">
        <f>$E$15*'2324 Band Calculations'!D6</f>
        <v>8.5637583892617446</v>
      </c>
      <c r="G15" s="549">
        <f>$E$15*'2324 Band Calculations'!E6</f>
        <v>35.86073825503356</v>
      </c>
      <c r="H15" s="549">
        <f>$E$15*'2324 Band Calculations'!F6</f>
        <v>4.8171140939597317</v>
      </c>
      <c r="I15" s="549">
        <f>$E$15*'2324 Band Calculations'!G6</f>
        <v>12.845637583892616</v>
      </c>
      <c r="J15" s="549">
        <f>$E$15*'2324 Band Calculations'!H6</f>
        <v>5.8875838926174504</v>
      </c>
      <c r="K15" s="549">
        <f>$E$15*'2324 Band Calculations'!I6</f>
        <v>5.352348993288591</v>
      </c>
      <c r="L15" s="169">
        <f>$E$15*'2324 Band Calculations'!J6</f>
        <v>6.422818791946308</v>
      </c>
      <c r="N15" s="7"/>
      <c r="O15" s="7"/>
      <c r="P15" s="7"/>
      <c r="R15" s="354"/>
    </row>
    <row r="16" spans="1:25" x14ac:dyDescent="0.25">
      <c r="A16" s="74">
        <v>9257005</v>
      </c>
      <c r="B16" t="str">
        <f t="shared" ref="B16:B19" si="5">CONCATENATE(A16,C16)</f>
        <v>9257005</v>
      </c>
      <c r="E16" s="37"/>
      <c r="F16" s="170">
        <f t="shared" ref="F16:K16" si="6">F15-F14</f>
        <v>8.5637583892617446</v>
      </c>
      <c r="G16" s="170">
        <f t="shared" si="6"/>
        <v>35.86073825503356</v>
      </c>
      <c r="H16" s="170">
        <f t="shared" si="6"/>
        <v>4.8171140939597317</v>
      </c>
      <c r="I16" s="170">
        <f t="shared" si="6"/>
        <v>12.845637583892616</v>
      </c>
      <c r="J16" s="170">
        <f t="shared" si="6"/>
        <v>5.8875838926174504</v>
      </c>
      <c r="K16" s="170">
        <f t="shared" si="6"/>
        <v>5.352348993288591</v>
      </c>
      <c r="L16" s="169"/>
      <c r="N16" s="7"/>
      <c r="O16" s="7"/>
      <c r="P16" s="7"/>
      <c r="R16" s="354"/>
    </row>
    <row r="17" spans="1:18" x14ac:dyDescent="0.25">
      <c r="A17" s="74">
        <v>9257005</v>
      </c>
      <c r="B17" t="str">
        <f t="shared" si="5"/>
        <v>9257005a</v>
      </c>
      <c r="C17" s="101" t="s">
        <v>349</v>
      </c>
      <c r="D17" s="101" t="s">
        <v>346</v>
      </c>
      <c r="F17" s="549">
        <f t="shared" ref="F17:K17" si="7">IF(F14&gt;F15,(F15),(F14))</f>
        <v>0</v>
      </c>
      <c r="G17" s="549">
        <f t="shared" si="7"/>
        <v>0</v>
      </c>
      <c r="H17" s="549">
        <f t="shared" si="7"/>
        <v>0</v>
      </c>
      <c r="I17" s="549">
        <f t="shared" si="7"/>
        <v>0</v>
      </c>
      <c r="J17" s="549">
        <f t="shared" si="7"/>
        <v>0</v>
      </c>
      <c r="K17" s="549">
        <f t="shared" si="7"/>
        <v>0</v>
      </c>
      <c r="L17" s="37"/>
      <c r="M17" s="7"/>
      <c r="N17" s="7"/>
      <c r="O17" s="7"/>
      <c r="P17" s="7"/>
      <c r="R17" s="354"/>
    </row>
    <row r="18" spans="1:18" x14ac:dyDescent="0.25">
      <c r="A18" s="74"/>
      <c r="B18" s="101" t="s">
        <v>358</v>
      </c>
      <c r="C18" s="101" t="s">
        <v>306</v>
      </c>
      <c r="D18" s="101" t="s">
        <v>351</v>
      </c>
      <c r="F18" s="671">
        <f>'2223 MFG Protection'!F20</f>
        <v>0</v>
      </c>
      <c r="G18" s="671">
        <f>'2223 MFG Protection'!G20</f>
        <v>0</v>
      </c>
      <c r="H18" s="671">
        <f>'2223 MFG Protection'!H20</f>
        <v>0</v>
      </c>
      <c r="I18" s="671">
        <f>'2223 MFG Protection'!I20</f>
        <v>0</v>
      </c>
      <c r="J18" s="671">
        <f>'2223 MFG Protection'!J20</f>
        <v>0</v>
      </c>
      <c r="K18" s="671">
        <f>'2223 MFG Protection'!K20</f>
        <v>0</v>
      </c>
      <c r="L18" s="37"/>
      <c r="M18" s="7"/>
      <c r="N18" s="7"/>
      <c r="O18" s="7"/>
      <c r="P18" s="7"/>
      <c r="R18" s="354"/>
    </row>
    <row r="19" spans="1:18" x14ac:dyDescent="0.25">
      <c r="A19" s="74">
        <v>9257005</v>
      </c>
      <c r="B19" t="str">
        <f t="shared" si="5"/>
        <v>9257005b</v>
      </c>
      <c r="C19" s="101" t="s">
        <v>353</v>
      </c>
      <c r="D19" s="101" t="s">
        <v>354</v>
      </c>
      <c r="F19" s="671">
        <v>0</v>
      </c>
      <c r="G19" s="671">
        <v>0</v>
      </c>
      <c r="H19" s="671">
        <v>0</v>
      </c>
      <c r="I19" s="671">
        <v>0</v>
      </c>
      <c r="J19" s="671">
        <v>0</v>
      </c>
      <c r="K19" s="671">
        <v>0</v>
      </c>
      <c r="L19" s="37"/>
      <c r="M19" s="7"/>
      <c r="N19" s="7"/>
      <c r="O19" s="7"/>
      <c r="R19" s="354"/>
    </row>
    <row r="20" spans="1:18" x14ac:dyDescent="0.25">
      <c r="A20" s="74"/>
      <c r="B20" s="101" t="s">
        <v>359</v>
      </c>
      <c r="C20" s="101" t="s">
        <v>312</v>
      </c>
      <c r="D20" s="101" t="s">
        <v>351</v>
      </c>
      <c r="F20" s="550">
        <f>IF(F18-F19&gt;0,(F18-F19),(0))</f>
        <v>0</v>
      </c>
      <c r="G20" s="550">
        <f t="shared" ref="G20:K20" si="8">IF(G18-G19&gt;0,(G18-G19),(0))</f>
        <v>0</v>
      </c>
      <c r="H20" s="550">
        <f t="shared" si="8"/>
        <v>0</v>
      </c>
      <c r="I20" s="550">
        <f t="shared" si="8"/>
        <v>0</v>
      </c>
      <c r="J20" s="550">
        <f t="shared" si="8"/>
        <v>0</v>
      </c>
      <c r="K20" s="550">
        <f t="shared" si="8"/>
        <v>0</v>
      </c>
      <c r="L20" s="37"/>
      <c r="M20" s="7"/>
      <c r="N20" s="7"/>
      <c r="O20" s="7"/>
      <c r="R20" s="354"/>
    </row>
    <row r="21" spans="1:18" x14ac:dyDescent="0.25">
      <c r="A21" s="74">
        <v>9257005</v>
      </c>
      <c r="B21" t="str">
        <f>CONCATENATE(A21,C21)</f>
        <v>9257005c</v>
      </c>
      <c r="C21" s="101" t="s">
        <v>357</v>
      </c>
      <c r="D21" s="101" t="s">
        <v>217</v>
      </c>
      <c r="F21" s="7">
        <f>IF(F20&lt;0,0,(F20*F17))</f>
        <v>0</v>
      </c>
      <c r="G21" s="7">
        <f t="shared" ref="G21:K21" si="9">IF(G20&lt;0,0,(G20*G17))</f>
        <v>0</v>
      </c>
      <c r="H21" s="7">
        <f t="shared" si="9"/>
        <v>0</v>
      </c>
      <c r="I21" s="7">
        <f t="shared" si="9"/>
        <v>0</v>
      </c>
      <c r="J21" s="7">
        <f t="shared" si="9"/>
        <v>0</v>
      </c>
      <c r="K21" s="7">
        <f t="shared" si="9"/>
        <v>0</v>
      </c>
      <c r="L21" s="141">
        <f>SUM(F21:K21)</f>
        <v>0</v>
      </c>
      <c r="M21" s="140">
        <f>L21-O14</f>
        <v>0</v>
      </c>
      <c r="N21" s="7"/>
      <c r="O21" s="7"/>
      <c r="R21" s="354"/>
    </row>
    <row r="22" spans="1:18" x14ac:dyDescent="0.25">
      <c r="A22" s="74"/>
      <c r="C22" s="101"/>
      <c r="D22" s="101" t="s">
        <v>401</v>
      </c>
      <c r="F22" s="670">
        <v>0</v>
      </c>
      <c r="G22" s="670">
        <v>0</v>
      </c>
      <c r="H22" s="670">
        <v>0</v>
      </c>
      <c r="I22" s="670">
        <v>0</v>
      </c>
      <c r="J22" s="670">
        <v>0</v>
      </c>
      <c r="K22" s="670">
        <v>0</v>
      </c>
      <c r="L22" s="7"/>
      <c r="M22" s="7"/>
      <c r="N22" s="7"/>
      <c r="O22" s="7"/>
      <c r="R22" s="354"/>
    </row>
    <row r="23" spans="1:18" x14ac:dyDescent="0.25">
      <c r="A23" s="634"/>
      <c r="B23" s="374" t="s">
        <v>64</v>
      </c>
      <c r="C23" s="171"/>
      <c r="D23" s="171"/>
      <c r="E23" s="172"/>
      <c r="F23" s="172"/>
      <c r="G23" s="172"/>
      <c r="H23" s="172"/>
      <c r="I23" s="172"/>
      <c r="J23" s="172"/>
      <c r="K23" s="172"/>
      <c r="L23" s="172"/>
      <c r="M23" s="172"/>
      <c r="N23" s="172"/>
      <c r="O23" s="172"/>
      <c r="P23" s="172"/>
      <c r="Q23" s="172"/>
      <c r="R23"/>
    </row>
    <row r="24" spans="1:18" x14ac:dyDescent="0.25">
      <c r="A24" s="74">
        <v>9257025</v>
      </c>
      <c r="B24" t="str">
        <f>CONCATENATE(A24,C24)</f>
        <v>92570252022/23</v>
      </c>
      <c r="C24" s="672" t="s">
        <v>306</v>
      </c>
      <c r="D24" s="101" t="s">
        <v>346</v>
      </c>
      <c r="E24" s="37">
        <f>SUM(F24:K24)</f>
        <v>32.986201391264686</v>
      </c>
      <c r="F24" s="673">
        <f>'2223 MFG Protection'!F32</f>
        <v>11.754219409282701</v>
      </c>
      <c r="G24" s="673">
        <f>'2223 MFG Protection'!G32</f>
        <v>21.231981981981988</v>
      </c>
      <c r="H24" s="673">
        <f>'2223 MFG Protection'!H32</f>
        <v>0</v>
      </c>
      <c r="I24" s="673">
        <f>'2223 MFG Protection'!I32</f>
        <v>0</v>
      </c>
      <c r="J24" s="673">
        <f>'2223 MFG Protection'!J32</f>
        <v>0</v>
      </c>
      <c r="K24" s="673">
        <f>'2223 MFG Protection'!K32</f>
        <v>0</v>
      </c>
      <c r="L24" s="169"/>
      <c r="N24" s="7"/>
      <c r="O24" s="140">
        <f>'2223 MFG Protection'!L31</f>
        <v>8581.1995982040153</v>
      </c>
      <c r="P24" s="7"/>
      <c r="R24" s="354"/>
    </row>
    <row r="25" spans="1:18" x14ac:dyDescent="0.25">
      <c r="A25" s="74">
        <v>9257025</v>
      </c>
      <c r="B25" t="str">
        <f>CONCATENATE(A25,C25)</f>
        <v>92570252023/24</v>
      </c>
      <c r="C25" s="101" t="s">
        <v>312</v>
      </c>
      <c r="D25" t="str">
        <f>CONCATENATE(A25,C25)</f>
        <v>92570252023/24</v>
      </c>
      <c r="E25" s="37">
        <f>VLOOKUP(A25,'2324 Funding Detail'!$A$4:$M$20,13,(FALSE))</f>
        <v>96</v>
      </c>
      <c r="F25" s="549">
        <f>$E$25*'2324 Band Calculations'!D8</f>
        <v>12.8</v>
      </c>
      <c r="G25" s="549">
        <f>$E$25*'2324 Band Calculations'!E8</f>
        <v>51.2</v>
      </c>
      <c r="H25" s="549">
        <f>$E$25*'2324 Band Calculations'!F8</f>
        <v>4.2666666666666666</v>
      </c>
      <c r="I25" s="549">
        <f>$E$25*'2324 Band Calculations'!G8</f>
        <v>10.666666666666666</v>
      </c>
      <c r="J25" s="549">
        <f>$E$25*'2324 Band Calculations'!H8</f>
        <v>1.0666666666666667</v>
      </c>
      <c r="K25" s="549">
        <f>$E$25*'2324 Band Calculations'!I8</f>
        <v>11.733333333333333</v>
      </c>
      <c r="L25" s="169">
        <f>$E$25*'2324 Band Calculations'!J8</f>
        <v>4.2666666666666666</v>
      </c>
      <c r="N25" s="7"/>
      <c r="O25" s="7"/>
      <c r="P25" s="7"/>
      <c r="R25" s="351"/>
    </row>
    <row r="26" spans="1:18" x14ac:dyDescent="0.25">
      <c r="A26" s="74">
        <v>9257025</v>
      </c>
      <c r="B26" t="str">
        <f t="shared" ref="B26:B29" si="10">CONCATENATE(A26,C26)</f>
        <v>9257025</v>
      </c>
      <c r="E26" s="37"/>
      <c r="F26" s="170">
        <f t="shared" ref="F26:K26" si="11">F25-F24</f>
        <v>1.0457805907172997</v>
      </c>
      <c r="G26" s="170">
        <f t="shared" si="11"/>
        <v>29.968018018018014</v>
      </c>
      <c r="H26" s="170">
        <f t="shared" si="11"/>
        <v>4.2666666666666666</v>
      </c>
      <c r="I26" s="170">
        <f t="shared" si="11"/>
        <v>10.666666666666666</v>
      </c>
      <c r="J26" s="170">
        <f t="shared" si="11"/>
        <v>1.0666666666666667</v>
      </c>
      <c r="K26" s="170">
        <f t="shared" si="11"/>
        <v>11.733333333333333</v>
      </c>
      <c r="L26" s="169"/>
      <c r="N26" s="7"/>
      <c r="O26" s="7"/>
      <c r="P26" s="7"/>
      <c r="R26" s="351"/>
    </row>
    <row r="27" spans="1:18" x14ac:dyDescent="0.25">
      <c r="A27" s="74">
        <v>9257025</v>
      </c>
      <c r="B27" t="str">
        <f t="shared" si="10"/>
        <v>9257025a</v>
      </c>
      <c r="C27" s="101" t="s">
        <v>349</v>
      </c>
      <c r="D27" s="101" t="s">
        <v>346</v>
      </c>
      <c r="F27" s="549">
        <f t="shared" ref="F27:K27" si="12">IF(F24&gt;F25,(F25),(F24))</f>
        <v>11.754219409282701</v>
      </c>
      <c r="G27" s="549">
        <f t="shared" si="12"/>
        <v>21.231981981981988</v>
      </c>
      <c r="H27" s="549">
        <f t="shared" si="12"/>
        <v>0</v>
      </c>
      <c r="I27" s="549">
        <f t="shared" si="12"/>
        <v>0</v>
      </c>
      <c r="J27" s="549">
        <f t="shared" si="12"/>
        <v>0</v>
      </c>
      <c r="K27" s="549">
        <f t="shared" si="12"/>
        <v>0</v>
      </c>
      <c r="L27" s="37"/>
      <c r="M27" s="7"/>
      <c r="N27" s="7"/>
      <c r="O27" s="7"/>
      <c r="P27" s="7"/>
      <c r="R27" s="351"/>
    </row>
    <row r="28" spans="1:18" x14ac:dyDescent="0.25">
      <c r="A28" s="74"/>
      <c r="B28" s="101" t="s">
        <v>360</v>
      </c>
      <c r="C28" s="101" t="s">
        <v>306</v>
      </c>
      <c r="D28" s="101" t="s">
        <v>351</v>
      </c>
      <c r="F28" s="671">
        <f>'2223 MFG Protection'!F30</f>
        <v>287.01526377569326</v>
      </c>
      <c r="G28" s="671">
        <f>'2223 MFG Protection'!G30</f>
        <v>245.26957579328382</v>
      </c>
      <c r="H28" s="671">
        <f>'2223 MFG Protection'!H30</f>
        <v>0</v>
      </c>
      <c r="I28" s="671">
        <f>'2223 MFG Protection'!I30</f>
        <v>0</v>
      </c>
      <c r="J28" s="671">
        <f>'2223 MFG Protection'!J30</f>
        <v>0</v>
      </c>
      <c r="K28" s="671">
        <f>'2223 MFG Protection'!K30</f>
        <v>0</v>
      </c>
      <c r="L28" s="37"/>
      <c r="M28" s="7"/>
      <c r="N28" s="7"/>
      <c r="O28" s="7"/>
      <c r="P28" s="7"/>
      <c r="R28" s="351"/>
    </row>
    <row r="29" spans="1:18" x14ac:dyDescent="0.25">
      <c r="A29" s="74">
        <v>9257025</v>
      </c>
      <c r="B29" t="str">
        <f t="shared" si="10"/>
        <v>9257025b</v>
      </c>
      <c r="C29" s="101" t="s">
        <v>353</v>
      </c>
      <c r="D29" s="101" t="s">
        <v>354</v>
      </c>
      <c r="F29" s="671">
        <v>0</v>
      </c>
      <c r="G29" s="671">
        <v>0</v>
      </c>
      <c r="H29" s="671">
        <v>0</v>
      </c>
      <c r="I29" s="671">
        <v>0</v>
      </c>
      <c r="J29" s="671">
        <v>0</v>
      </c>
      <c r="K29" s="671">
        <v>0</v>
      </c>
      <c r="L29" s="37"/>
      <c r="M29" s="7"/>
      <c r="N29" s="7"/>
      <c r="O29" s="7"/>
      <c r="R29" s="351"/>
    </row>
    <row r="30" spans="1:18" x14ac:dyDescent="0.25">
      <c r="A30" s="74"/>
      <c r="B30" s="101" t="s">
        <v>361</v>
      </c>
      <c r="C30" s="101" t="s">
        <v>312</v>
      </c>
      <c r="D30" s="101" t="s">
        <v>351</v>
      </c>
      <c r="F30" s="550">
        <f>IF(F28-F29&gt;0,(F28-F29),(0))</f>
        <v>287.01526377569326</v>
      </c>
      <c r="G30" s="550">
        <f t="shared" ref="G30:K30" si="13">IF(G28-G29&gt;0,(G28-G29),(0))</f>
        <v>245.26957579328382</v>
      </c>
      <c r="H30" s="550">
        <f t="shared" si="13"/>
        <v>0</v>
      </c>
      <c r="I30" s="550">
        <f t="shared" si="13"/>
        <v>0</v>
      </c>
      <c r="J30" s="550">
        <f t="shared" si="13"/>
        <v>0</v>
      </c>
      <c r="K30" s="550">
        <f t="shared" si="13"/>
        <v>0</v>
      </c>
      <c r="L30" s="37"/>
      <c r="M30" s="7"/>
      <c r="N30" s="7"/>
      <c r="O30" s="7"/>
      <c r="R30" s="351"/>
    </row>
    <row r="31" spans="1:18" x14ac:dyDescent="0.25">
      <c r="A31" s="74">
        <v>9257025</v>
      </c>
      <c r="B31" t="str">
        <f>CONCATENATE(A31,C31)</f>
        <v>9257025c</v>
      </c>
      <c r="C31" s="101" t="s">
        <v>357</v>
      </c>
      <c r="D31" s="101" t="s">
        <v>217</v>
      </c>
      <c r="F31" s="7">
        <f>IF(F30&lt;0,0,(F30*F27))</f>
        <v>3373.6403842326476</v>
      </c>
      <c r="G31" s="7">
        <f t="shared" ref="G31:K31" si="14">IF(G30&lt;0,0,(G30*G27))</f>
        <v>5207.5592139713681</v>
      </c>
      <c r="H31" s="7">
        <f t="shared" si="14"/>
        <v>0</v>
      </c>
      <c r="I31" s="7">
        <f t="shared" si="14"/>
        <v>0</v>
      </c>
      <c r="J31" s="7">
        <f t="shared" si="14"/>
        <v>0</v>
      </c>
      <c r="K31" s="7">
        <f t="shared" si="14"/>
        <v>0</v>
      </c>
      <c r="L31" s="141">
        <f>SUM(F31:K31)</f>
        <v>8581.1995982040153</v>
      </c>
      <c r="M31" s="140">
        <f>L31-O24</f>
        <v>0</v>
      </c>
      <c r="N31" s="7"/>
      <c r="O31" s="7"/>
      <c r="R31" s="351"/>
    </row>
    <row r="32" spans="1:18" hidden="1" x14ac:dyDescent="0.25">
      <c r="A32" s="634"/>
      <c r="B32" s="374" t="s">
        <v>65</v>
      </c>
      <c r="C32" s="171"/>
      <c r="D32" s="171"/>
      <c r="E32" s="172"/>
      <c r="F32" s="172"/>
      <c r="G32" s="172"/>
      <c r="H32" s="172"/>
      <c r="I32" s="172"/>
      <c r="J32" s="172"/>
      <c r="K32" s="172"/>
      <c r="L32" s="172"/>
      <c r="M32" s="172"/>
      <c r="N32" s="172"/>
      <c r="O32" s="172"/>
      <c r="P32" s="172"/>
      <c r="Q32" s="172"/>
    </row>
    <row r="33" spans="1:18" hidden="1" x14ac:dyDescent="0.25">
      <c r="A33" s="74">
        <v>9257011</v>
      </c>
      <c r="B33" t="str">
        <f>CONCATENATE(A33,C33)</f>
        <v>92570112021/22</v>
      </c>
      <c r="C33" s="101" t="s">
        <v>305</v>
      </c>
      <c r="D33" s="101" t="s">
        <v>346</v>
      </c>
      <c r="E33" s="37" t="e">
        <f>SUM(#REF!)</f>
        <v>#REF!</v>
      </c>
      <c r="F33" s="548" t="e">
        <f>SUM(#REF!)</f>
        <v>#REF!</v>
      </c>
      <c r="G33" s="548" t="e">
        <f>SUM(#REF!)</f>
        <v>#REF!</v>
      </c>
      <c r="H33" s="548" t="e">
        <f>SUM(#REF!)</f>
        <v>#REF!</v>
      </c>
      <c r="I33" s="548" t="e">
        <f>SUM(#REF!)</f>
        <v>#REF!</v>
      </c>
      <c r="J33" s="548" t="e">
        <f>SUM(#REF!)</f>
        <v>#REF!</v>
      </c>
      <c r="K33" s="548" t="e">
        <f>SUM(#REF!)</f>
        <v>#REF!</v>
      </c>
      <c r="L33" s="37" t="e">
        <f>SUM(#REF!)</f>
        <v>#REF!</v>
      </c>
      <c r="N33" s="7"/>
      <c r="O33" s="140" t="e">
        <f>#REF!</f>
        <v>#REF!</v>
      </c>
      <c r="P33" s="7"/>
      <c r="R33" s="351"/>
    </row>
    <row r="34" spans="1:18" hidden="1" x14ac:dyDescent="0.25">
      <c r="A34" s="74">
        <v>9257011</v>
      </c>
      <c r="B34" t="str">
        <f>CONCATENATE(A34,C34)</f>
        <v>92570112023/24</v>
      </c>
      <c r="C34" s="101" t="s">
        <v>312</v>
      </c>
      <c r="D34" t="str">
        <f>CONCATENATE(A34,C34)</f>
        <v>92570112023/24</v>
      </c>
      <c r="E34" s="37" t="e">
        <f>VLOOKUP(A34,'2223 Funding Detail'!$A$4:$M$20,13,(FALSE))</f>
        <v>#N/A</v>
      </c>
      <c r="F34" s="549" t="e">
        <f>$E$34*'2223 Band Calculations'!#REF!</f>
        <v>#N/A</v>
      </c>
      <c r="G34" s="549" t="e">
        <f>$E$34*'2223 Band Calculations'!#REF!</f>
        <v>#N/A</v>
      </c>
      <c r="H34" s="549" t="e">
        <f>$E$34*'2223 Band Calculations'!#REF!</f>
        <v>#N/A</v>
      </c>
      <c r="I34" s="549" t="e">
        <f>$E$34*'2223 Band Calculations'!#REF!</f>
        <v>#N/A</v>
      </c>
      <c r="J34" s="549" t="e">
        <f>$E$34*'2223 Band Calculations'!#REF!</f>
        <v>#N/A</v>
      </c>
      <c r="K34" s="549" t="e">
        <f>$E$34*'2223 Band Calculations'!#REF!</f>
        <v>#N/A</v>
      </c>
      <c r="L34" s="169" t="e">
        <f>$E$34*'2223 Band Calculations'!#REF!</f>
        <v>#N/A</v>
      </c>
      <c r="N34" s="7"/>
      <c r="O34" s="7"/>
      <c r="P34" s="7"/>
      <c r="R34" s="351"/>
    </row>
    <row r="35" spans="1:18" hidden="1" x14ac:dyDescent="0.25">
      <c r="A35" s="74">
        <v>9257011</v>
      </c>
      <c r="B35" t="str">
        <f t="shared" ref="B35:B38" si="15">CONCATENATE(A35,C35)</f>
        <v>9257011</v>
      </c>
      <c r="F35" s="170" t="e">
        <f t="shared" ref="F35:K35" si="16">F34-F33</f>
        <v>#N/A</v>
      </c>
      <c r="G35" s="170" t="e">
        <f t="shared" si="16"/>
        <v>#N/A</v>
      </c>
      <c r="H35" s="170" t="e">
        <f t="shared" si="16"/>
        <v>#N/A</v>
      </c>
      <c r="I35" s="170" t="e">
        <f t="shared" si="16"/>
        <v>#N/A</v>
      </c>
      <c r="J35" s="170" t="e">
        <f t="shared" si="16"/>
        <v>#N/A</v>
      </c>
      <c r="K35" s="170" t="e">
        <f t="shared" si="16"/>
        <v>#N/A</v>
      </c>
      <c r="L35" s="169"/>
      <c r="N35" s="7"/>
      <c r="O35" s="7"/>
      <c r="P35" s="7"/>
      <c r="R35" s="351"/>
    </row>
    <row r="36" spans="1:18" hidden="1" x14ac:dyDescent="0.25">
      <c r="A36" s="74">
        <v>9257011</v>
      </c>
      <c r="B36" t="str">
        <f t="shared" si="15"/>
        <v>9257011a</v>
      </c>
      <c r="C36" s="101" t="s">
        <v>349</v>
      </c>
      <c r="D36" s="101" t="s">
        <v>346</v>
      </c>
      <c r="F36" s="549" t="e">
        <f t="shared" ref="F36:K36" si="17">IF(F33&gt;F34,(F34),(F33))</f>
        <v>#REF!</v>
      </c>
      <c r="G36" s="549" t="e">
        <f t="shared" si="17"/>
        <v>#REF!</v>
      </c>
      <c r="H36" s="549" t="e">
        <f t="shared" si="17"/>
        <v>#REF!</v>
      </c>
      <c r="I36" s="549" t="e">
        <f t="shared" si="17"/>
        <v>#REF!</v>
      </c>
      <c r="J36" s="549" t="e">
        <f t="shared" si="17"/>
        <v>#REF!</v>
      </c>
      <c r="K36" s="549" t="e">
        <f t="shared" si="17"/>
        <v>#REF!</v>
      </c>
      <c r="L36" s="37"/>
      <c r="M36" s="7"/>
      <c r="N36" s="7"/>
      <c r="O36" s="7"/>
      <c r="P36" s="7"/>
      <c r="R36" s="351"/>
    </row>
    <row r="37" spans="1:18" hidden="1" x14ac:dyDescent="0.25">
      <c r="A37" s="74"/>
      <c r="B37" s="101" t="s">
        <v>362</v>
      </c>
      <c r="C37" s="101" t="s">
        <v>305</v>
      </c>
      <c r="D37" s="101" t="s">
        <v>351</v>
      </c>
      <c r="F37" s="140" t="e">
        <f>SUM(#REF!)</f>
        <v>#REF!</v>
      </c>
      <c r="G37" s="140" t="e">
        <f>SUM(#REF!)</f>
        <v>#REF!</v>
      </c>
      <c r="H37" s="140" t="e">
        <f>SUM(#REF!)</f>
        <v>#REF!</v>
      </c>
      <c r="I37" s="140" t="e">
        <f>SUM(#REF!)</f>
        <v>#REF!</v>
      </c>
      <c r="J37" s="140" t="e">
        <f>SUM(#REF!)</f>
        <v>#REF!</v>
      </c>
      <c r="K37" s="140" t="e">
        <f>SUM(#REF!)</f>
        <v>#REF!</v>
      </c>
      <c r="L37" s="37"/>
      <c r="M37" s="7"/>
      <c r="N37" s="7"/>
      <c r="O37" s="7"/>
      <c r="P37" s="7"/>
      <c r="R37" s="351"/>
    </row>
    <row r="38" spans="1:18" hidden="1" x14ac:dyDescent="0.25">
      <c r="A38" s="74">
        <v>9257011</v>
      </c>
      <c r="B38" t="str">
        <f t="shared" si="15"/>
        <v>9257011b</v>
      </c>
      <c r="C38" s="101" t="s">
        <v>353</v>
      </c>
      <c r="D38" s="101" t="s">
        <v>354</v>
      </c>
      <c r="F38" s="550" t="e">
        <f>'2223 Band Values'!$BN$11</f>
        <v>#REF!</v>
      </c>
      <c r="G38" s="550" t="e">
        <f>'2223 Band Values'!$BN$8</f>
        <v>#REF!</v>
      </c>
      <c r="H38" s="550" t="e">
        <f>'2223 Band Values'!$BN$28</f>
        <v>#REF!</v>
      </c>
      <c r="I38" s="550" t="e">
        <f>'2223 Band Values'!$BN$5</f>
        <v>#REF!</v>
      </c>
      <c r="J38" s="550" t="e">
        <f>'2223 Band Values'!$BN$14</f>
        <v>#REF!</v>
      </c>
      <c r="K38" s="550" t="e">
        <f>'2223 Band Values'!$BN$22</f>
        <v>#REF!</v>
      </c>
      <c r="L38" s="37"/>
      <c r="M38" s="7"/>
      <c r="R38" s="351"/>
    </row>
    <row r="39" spans="1:18" hidden="1" x14ac:dyDescent="0.25">
      <c r="A39" s="74"/>
      <c r="B39" t="s">
        <v>363</v>
      </c>
      <c r="C39" s="101" t="s">
        <v>312</v>
      </c>
      <c r="D39" s="101" t="s">
        <v>351</v>
      </c>
      <c r="F39" s="550" t="e">
        <f>IF(F37-F38&gt;0,(F37-F38),(0))</f>
        <v>#REF!</v>
      </c>
      <c r="G39" s="550" t="e">
        <f t="shared" ref="G39:K39" si="18">IF(G37-G38&gt;0,(G37-G38),(0))</f>
        <v>#REF!</v>
      </c>
      <c r="H39" s="550" t="e">
        <f t="shared" si="18"/>
        <v>#REF!</v>
      </c>
      <c r="I39" s="550" t="e">
        <f t="shared" si="18"/>
        <v>#REF!</v>
      </c>
      <c r="J39" s="550" t="e">
        <f t="shared" si="18"/>
        <v>#REF!</v>
      </c>
      <c r="K39" s="550" t="e">
        <f t="shared" si="18"/>
        <v>#REF!</v>
      </c>
      <c r="L39" s="37"/>
      <c r="M39" s="7"/>
      <c r="R39" s="351"/>
    </row>
    <row r="40" spans="1:18" hidden="1" x14ac:dyDescent="0.25">
      <c r="A40" s="74">
        <v>9257011</v>
      </c>
      <c r="B40" t="str">
        <f>CONCATENATE(A40,C40)</f>
        <v>9257011c</v>
      </c>
      <c r="C40" s="101" t="s">
        <v>357</v>
      </c>
      <c r="D40" s="101" t="s">
        <v>217</v>
      </c>
      <c r="F40" s="7" t="e">
        <f>IF(F39&lt;0,0,(F39*F36))</f>
        <v>#REF!</v>
      </c>
      <c r="G40" s="7" t="e">
        <f t="shared" ref="G40:K40" si="19">IF(G39&lt;0,0,(G39*G36))</f>
        <v>#REF!</v>
      </c>
      <c r="H40" s="7" t="e">
        <f t="shared" si="19"/>
        <v>#REF!</v>
      </c>
      <c r="I40" s="7" t="e">
        <f t="shared" si="19"/>
        <v>#REF!</v>
      </c>
      <c r="J40" s="7" t="e">
        <f t="shared" si="19"/>
        <v>#REF!</v>
      </c>
      <c r="K40" s="7" t="e">
        <f t="shared" si="19"/>
        <v>#REF!</v>
      </c>
      <c r="L40" s="141" t="e">
        <f>SUM(F40:K40)</f>
        <v>#REF!</v>
      </c>
      <c r="M40" s="140" t="e">
        <f>L40-O33</f>
        <v>#REF!</v>
      </c>
      <c r="R40" s="351"/>
    </row>
    <row r="41" spans="1:18" x14ac:dyDescent="0.25">
      <c r="A41" s="74"/>
      <c r="C41" s="101"/>
      <c r="D41" s="101" t="s">
        <v>401</v>
      </c>
      <c r="F41" s="670">
        <v>11.754219409282701</v>
      </c>
      <c r="G41" s="670">
        <v>21.231981981981988</v>
      </c>
      <c r="H41" s="670">
        <v>0</v>
      </c>
      <c r="I41" s="670">
        <v>0</v>
      </c>
      <c r="J41" s="670">
        <v>0</v>
      </c>
      <c r="K41" s="670">
        <v>0</v>
      </c>
      <c r="L41" s="7"/>
      <c r="M41" s="7"/>
      <c r="N41" s="7"/>
      <c r="O41" s="7"/>
      <c r="R41" s="351"/>
    </row>
    <row r="42" spans="1:18" x14ac:dyDescent="0.25">
      <c r="A42" s="171"/>
      <c r="B42" s="171" t="s">
        <v>66</v>
      </c>
      <c r="C42" s="171"/>
      <c r="D42" s="171"/>
      <c r="E42" s="172"/>
      <c r="F42" s="173"/>
      <c r="G42" s="173"/>
      <c r="H42" s="173"/>
      <c r="I42" s="173"/>
      <c r="J42" s="173"/>
      <c r="K42" s="173"/>
      <c r="L42" s="173"/>
      <c r="M42" s="173"/>
      <c r="N42" s="172"/>
      <c r="O42" s="172"/>
      <c r="P42" s="172"/>
      <c r="Q42" s="172"/>
    </row>
    <row r="43" spans="1:18" x14ac:dyDescent="0.25">
      <c r="A43" s="74">
        <v>9257024</v>
      </c>
      <c r="B43" t="str">
        <f>CONCATENATE(A43,C43)</f>
        <v>92570242022/23</v>
      </c>
      <c r="C43" s="672" t="s">
        <v>306</v>
      </c>
      <c r="D43" s="101" t="s">
        <v>346</v>
      </c>
      <c r="E43" s="37">
        <f>SUM(F43:K43)</f>
        <v>39.786585365853661</v>
      </c>
      <c r="F43" s="670">
        <f>'2223 MFG Protection'!F52</f>
        <v>6.166666666666667</v>
      </c>
      <c r="G43" s="670">
        <f>'2223 MFG Protection'!G52</f>
        <v>33.619918699186996</v>
      </c>
      <c r="H43" s="670">
        <f>'2223 MFG Protection'!H52</f>
        <v>0</v>
      </c>
      <c r="I43" s="670">
        <f>'2223 MFG Protection'!I52</f>
        <v>0</v>
      </c>
      <c r="J43" s="670">
        <f>'2223 MFG Protection'!J52</f>
        <v>0</v>
      </c>
      <c r="K43" s="670">
        <f>'2223 MFG Protection'!K52</f>
        <v>0</v>
      </c>
      <c r="L43" s="37"/>
      <c r="N43" s="7"/>
      <c r="O43" s="140">
        <f>'2223 MFG Protection'!L51</f>
        <v>8844.6388169908823</v>
      </c>
      <c r="R43" s="351"/>
    </row>
    <row r="44" spans="1:18" x14ac:dyDescent="0.25">
      <c r="A44" s="74">
        <v>9257024</v>
      </c>
      <c r="B44" t="str">
        <f>CONCATENATE(A44,C44)</f>
        <v>92570242023/24</v>
      </c>
      <c r="C44" s="101" t="s">
        <v>312</v>
      </c>
      <c r="D44" t="str">
        <f>CONCATENATE(A44,C44)</f>
        <v>92570242023/24</v>
      </c>
      <c r="E44" s="37">
        <f>VLOOKUP(A44,'2324 Funding Detail'!$A$4:$M$20,13,(FALSE))</f>
        <v>92.916666666666671</v>
      </c>
      <c r="F44" s="555">
        <f>$E$44*'2324 Band Calculations'!D9</f>
        <v>7.6519607843137258</v>
      </c>
      <c r="G44" s="555">
        <f>$E$44*'2324 Band Calculations'!E9</f>
        <v>50.284313725490193</v>
      </c>
      <c r="H44" s="555">
        <f>$E$44*'2324 Band Calculations'!F9</f>
        <v>1.0931372549019609</v>
      </c>
      <c r="I44" s="555">
        <f>$E$44*'2324 Band Calculations'!G9</f>
        <v>16.397058823529413</v>
      </c>
      <c r="J44" s="555">
        <f>$E$44*'2324 Band Calculations'!H9</f>
        <v>6.5588235294117654</v>
      </c>
      <c r="K44" s="555">
        <f>$E$44*'2324 Band Calculations'!I9</f>
        <v>4.3725490196078436</v>
      </c>
      <c r="L44" s="177">
        <f>$E$44*'2324 Band Calculations'!J9</f>
        <v>6.5588235294117654</v>
      </c>
      <c r="N44" s="7"/>
      <c r="R44" s="351"/>
    </row>
    <row r="45" spans="1:18" x14ac:dyDescent="0.25">
      <c r="A45" s="74">
        <v>9257024</v>
      </c>
      <c r="B45" t="str">
        <f t="shared" ref="B45:B48" si="20">CONCATENATE(A45,C45)</f>
        <v>9257024</v>
      </c>
      <c r="F45" s="170">
        <f t="shared" ref="F45:K45" si="21">F44-F43</f>
        <v>1.4852941176470589</v>
      </c>
      <c r="G45" s="170">
        <f t="shared" si="21"/>
        <v>16.664395026303197</v>
      </c>
      <c r="H45" s="170">
        <f t="shared" si="21"/>
        <v>1.0931372549019609</v>
      </c>
      <c r="I45" s="170">
        <f t="shared" si="21"/>
        <v>16.397058823529413</v>
      </c>
      <c r="J45" s="170">
        <f t="shared" si="21"/>
        <v>6.5588235294117654</v>
      </c>
      <c r="K45" s="170">
        <f t="shared" si="21"/>
        <v>4.3725490196078436</v>
      </c>
      <c r="R45" s="351"/>
    </row>
    <row r="46" spans="1:18" x14ac:dyDescent="0.25">
      <c r="A46" s="74">
        <v>9257024</v>
      </c>
      <c r="B46" t="str">
        <f t="shared" si="20"/>
        <v>9257024a</v>
      </c>
      <c r="C46" s="101" t="s">
        <v>349</v>
      </c>
      <c r="D46" s="101" t="s">
        <v>346</v>
      </c>
      <c r="F46" s="549">
        <f t="shared" ref="F46:K46" si="22">IF(F43&gt;F44,(F44),(F43))</f>
        <v>6.166666666666667</v>
      </c>
      <c r="G46" s="549">
        <f t="shared" si="22"/>
        <v>33.619918699186996</v>
      </c>
      <c r="H46" s="549">
        <f t="shared" si="22"/>
        <v>0</v>
      </c>
      <c r="I46" s="549">
        <f t="shared" si="22"/>
        <v>0</v>
      </c>
      <c r="J46" s="549">
        <f t="shared" si="22"/>
        <v>0</v>
      </c>
      <c r="K46" s="549">
        <f t="shared" si="22"/>
        <v>0</v>
      </c>
      <c r="L46" s="37"/>
      <c r="M46" s="7"/>
      <c r="O46" s="7"/>
      <c r="P46" s="7"/>
      <c r="R46" s="351"/>
    </row>
    <row r="47" spans="1:18" x14ac:dyDescent="0.25">
      <c r="A47" s="74"/>
      <c r="B47" t="s">
        <v>364</v>
      </c>
      <c r="C47" s="101" t="s">
        <v>306</v>
      </c>
      <c r="D47" s="101" t="s">
        <v>351</v>
      </c>
      <c r="F47" s="671">
        <f>'2223 MFG Protection'!F50</f>
        <v>257.57740602179041</v>
      </c>
      <c r="G47" s="671">
        <f>'2223 MFG Protection'!G50</f>
        <v>215.83171803938103</v>
      </c>
      <c r="H47" s="671">
        <f>'2223 MFG Protection'!H50</f>
        <v>0</v>
      </c>
      <c r="I47" s="671">
        <f>'2223 MFG Protection'!I50</f>
        <v>0</v>
      </c>
      <c r="J47" s="671">
        <f>'2223 MFG Protection'!J50</f>
        <v>0</v>
      </c>
      <c r="K47" s="671">
        <f>'2223 MFG Protection'!K50</f>
        <v>0</v>
      </c>
      <c r="L47" s="37"/>
      <c r="M47" s="7"/>
      <c r="O47" s="7"/>
      <c r="P47" s="7"/>
      <c r="R47" s="351"/>
    </row>
    <row r="48" spans="1:18" x14ac:dyDescent="0.25">
      <c r="A48" s="74">
        <v>9257024</v>
      </c>
      <c r="B48" t="str">
        <f t="shared" si="20"/>
        <v>9257024b</v>
      </c>
      <c r="C48" s="101" t="s">
        <v>353</v>
      </c>
      <c r="D48" s="101" t="s">
        <v>354</v>
      </c>
      <c r="F48" s="671">
        <v>0</v>
      </c>
      <c r="G48" s="671">
        <v>0</v>
      </c>
      <c r="H48" s="671">
        <v>0</v>
      </c>
      <c r="I48" s="671">
        <v>0</v>
      </c>
      <c r="J48" s="671">
        <v>0</v>
      </c>
      <c r="K48" s="671">
        <v>0</v>
      </c>
      <c r="L48" s="37"/>
      <c r="M48" s="7"/>
      <c r="R48" s="351"/>
    </row>
    <row r="49" spans="1:18" x14ac:dyDescent="0.25">
      <c r="A49" s="74"/>
      <c r="B49" t="s">
        <v>365</v>
      </c>
      <c r="C49" s="101" t="s">
        <v>312</v>
      </c>
      <c r="D49" s="101" t="s">
        <v>351</v>
      </c>
      <c r="F49" s="550">
        <f>IF(F47-F48&gt;0,(F47-F48),(0))</f>
        <v>257.57740602179041</v>
      </c>
      <c r="G49" s="550">
        <f t="shared" ref="G49:K49" si="23">IF(G47-G48&gt;0,(G47-G48),(0))</f>
        <v>215.83171803938103</v>
      </c>
      <c r="H49" s="550">
        <f t="shared" si="23"/>
        <v>0</v>
      </c>
      <c r="I49" s="550">
        <f t="shared" si="23"/>
        <v>0</v>
      </c>
      <c r="J49" s="550">
        <f t="shared" si="23"/>
        <v>0</v>
      </c>
      <c r="K49" s="550">
        <f t="shared" si="23"/>
        <v>0</v>
      </c>
      <c r="L49" s="37"/>
      <c r="M49" s="7"/>
      <c r="R49" s="351"/>
    </row>
    <row r="50" spans="1:18" x14ac:dyDescent="0.25">
      <c r="A50" s="74">
        <v>9257024</v>
      </c>
      <c r="B50" t="str">
        <f>CONCATENATE(A50,C50)</f>
        <v>9257024c</v>
      </c>
      <c r="C50" s="101" t="s">
        <v>357</v>
      </c>
      <c r="D50" s="101" t="s">
        <v>217</v>
      </c>
      <c r="F50" s="7">
        <f>IF(F49&lt;0,0,(F49*F46))</f>
        <v>1588.394003801041</v>
      </c>
      <c r="G50" s="7">
        <f t="shared" ref="G50:K50" si="24">IF(G49&lt;0,0,(G49*G46))</f>
        <v>7256.2448131898418</v>
      </c>
      <c r="H50" s="7">
        <f t="shared" si="24"/>
        <v>0</v>
      </c>
      <c r="I50" s="7">
        <f t="shared" si="24"/>
        <v>0</v>
      </c>
      <c r="J50" s="7">
        <f t="shared" si="24"/>
        <v>0</v>
      </c>
      <c r="K50" s="7">
        <f t="shared" si="24"/>
        <v>0</v>
      </c>
      <c r="L50" s="141">
        <f>SUM(F50:K50)</f>
        <v>8844.6388169908823</v>
      </c>
      <c r="M50" s="140">
        <f>L50-O43</f>
        <v>0</v>
      </c>
      <c r="R50" s="351"/>
    </row>
    <row r="51" spans="1:18" x14ac:dyDescent="0.25">
      <c r="A51" s="78"/>
      <c r="C51" s="101"/>
      <c r="D51" s="101" t="s">
        <v>401</v>
      </c>
      <c r="F51" s="670">
        <v>6.166666666666667</v>
      </c>
      <c r="G51" s="670">
        <v>33.619918699186996</v>
      </c>
      <c r="H51" s="670">
        <v>0</v>
      </c>
      <c r="I51" s="670">
        <v>0</v>
      </c>
      <c r="J51" s="670">
        <v>0</v>
      </c>
      <c r="K51" s="670">
        <v>0</v>
      </c>
      <c r="L51" s="141"/>
      <c r="M51" s="140"/>
      <c r="R51" s="351"/>
    </row>
    <row r="52" spans="1:18" x14ac:dyDescent="0.25">
      <c r="A52" s="171"/>
      <c r="B52" s="171" t="s">
        <v>84</v>
      </c>
      <c r="C52" s="171"/>
      <c r="D52" s="171"/>
      <c r="E52" s="172"/>
      <c r="F52" s="173"/>
      <c r="G52" s="173"/>
      <c r="H52" s="173"/>
      <c r="I52" s="173"/>
      <c r="J52" s="173"/>
      <c r="K52" s="173"/>
      <c r="L52" s="173"/>
      <c r="M52" s="173"/>
      <c r="N52" s="172"/>
      <c r="O52" s="172"/>
      <c r="P52" s="172"/>
      <c r="Q52" s="172"/>
    </row>
    <row r="53" spans="1:18" x14ac:dyDescent="0.25">
      <c r="A53" s="74">
        <v>9257031</v>
      </c>
      <c r="B53" t="str">
        <f>CONCATENATE(A53,C53)</f>
        <v>92570312022/23</v>
      </c>
      <c r="C53" s="672" t="s">
        <v>306</v>
      </c>
      <c r="D53" s="101" t="s">
        <v>346</v>
      </c>
      <c r="E53" s="37">
        <f>SUM(F53:K53)</f>
        <v>0</v>
      </c>
      <c r="F53" s="670">
        <f>'2223 MFG Protection'!F62</f>
        <v>0</v>
      </c>
      <c r="G53" s="670">
        <f>'2223 MFG Protection'!G62</f>
        <v>0</v>
      </c>
      <c r="H53" s="670">
        <f>'2223 MFG Protection'!H62</f>
        <v>0</v>
      </c>
      <c r="I53" s="670">
        <f>'2223 MFG Protection'!I62</f>
        <v>0</v>
      </c>
      <c r="J53" s="670">
        <f>'2223 MFG Protection'!J62</f>
        <v>0</v>
      </c>
      <c r="K53" s="670">
        <f>'2223 MFG Protection'!K62</f>
        <v>0</v>
      </c>
      <c r="L53" s="37"/>
      <c r="N53" s="7"/>
      <c r="O53" s="140">
        <f>'2223 MFG Protection'!L61</f>
        <v>0</v>
      </c>
      <c r="R53" s="351"/>
    </row>
    <row r="54" spans="1:18" x14ac:dyDescent="0.25">
      <c r="A54" s="74">
        <v>9257031</v>
      </c>
      <c r="B54" t="str">
        <f>CONCATENATE(A54,C54)</f>
        <v>92570312023/24</v>
      </c>
      <c r="C54" s="101" t="s">
        <v>312</v>
      </c>
      <c r="D54" t="str">
        <f>CONCATENATE(A54,C54)</f>
        <v>92570312023/24</v>
      </c>
      <c r="E54" s="37">
        <f>VLOOKUP(A54,'2324 Funding Detail'!$A$4:$M$20,13,(FALSE))</f>
        <v>80.583333333333343</v>
      </c>
      <c r="F54" s="549">
        <f>$E$54*'2324 Band Calculations'!D31</f>
        <v>0</v>
      </c>
      <c r="G54" s="549">
        <f>$E$54*'2324 Band Calculations'!E31</f>
        <v>0</v>
      </c>
      <c r="H54" s="549">
        <f>$E$54*'2324 Band Calculations'!F31</f>
        <v>80.583333333333343</v>
      </c>
      <c r="I54" s="549">
        <f>$E$54*'2324 Band Calculations'!G31</f>
        <v>0</v>
      </c>
      <c r="J54" s="549">
        <f>$E$54*'2324 Band Calculations'!H31</f>
        <v>0</v>
      </c>
      <c r="K54" s="549">
        <f>$E$54*'2324 Band Calculations'!I31</f>
        <v>0</v>
      </c>
      <c r="L54" s="169">
        <f>$E$54*'2324 Band Calculations'!J31</f>
        <v>0</v>
      </c>
      <c r="N54" s="7"/>
      <c r="R54" s="351"/>
    </row>
    <row r="55" spans="1:18" x14ac:dyDescent="0.25">
      <c r="A55" s="74">
        <v>9257031</v>
      </c>
      <c r="B55" t="str">
        <f t="shared" ref="B55:B58" si="25">CONCATENATE(A55,C55)</f>
        <v>9257031</v>
      </c>
      <c r="F55" s="170">
        <f t="shared" ref="F55:K55" si="26">F54-F53</f>
        <v>0</v>
      </c>
      <c r="G55" s="170">
        <f t="shared" si="26"/>
        <v>0</v>
      </c>
      <c r="H55" s="170">
        <f t="shared" si="26"/>
        <v>80.583333333333343</v>
      </c>
      <c r="I55" s="170">
        <f t="shared" si="26"/>
        <v>0</v>
      </c>
      <c r="J55" s="170">
        <f t="shared" si="26"/>
        <v>0</v>
      </c>
      <c r="K55" s="170">
        <f t="shared" si="26"/>
        <v>0</v>
      </c>
      <c r="R55" s="351"/>
    </row>
    <row r="56" spans="1:18" x14ac:dyDescent="0.25">
      <c r="A56" s="74">
        <v>9257031</v>
      </c>
      <c r="B56" t="str">
        <f t="shared" si="25"/>
        <v>9257031a</v>
      </c>
      <c r="C56" s="101" t="s">
        <v>349</v>
      </c>
      <c r="D56" s="101" t="s">
        <v>346</v>
      </c>
      <c r="F56" s="549">
        <f t="shared" ref="F56:K56" si="27">IF(F53&gt;F54,(F54),(F53))</f>
        <v>0</v>
      </c>
      <c r="G56" s="549">
        <f t="shared" si="27"/>
        <v>0</v>
      </c>
      <c r="H56" s="549">
        <f t="shared" si="27"/>
        <v>0</v>
      </c>
      <c r="I56" s="549">
        <f t="shared" si="27"/>
        <v>0</v>
      </c>
      <c r="J56" s="549">
        <f t="shared" si="27"/>
        <v>0</v>
      </c>
      <c r="K56" s="549">
        <f t="shared" si="27"/>
        <v>0</v>
      </c>
      <c r="L56" s="37"/>
      <c r="M56" s="7"/>
      <c r="O56" s="7"/>
      <c r="P56" s="7"/>
      <c r="R56" s="351"/>
    </row>
    <row r="57" spans="1:18" x14ac:dyDescent="0.25">
      <c r="A57" s="74"/>
      <c r="B57" t="s">
        <v>366</v>
      </c>
      <c r="C57" s="101" t="s">
        <v>306</v>
      </c>
      <c r="D57" s="101" t="s">
        <v>351</v>
      </c>
      <c r="F57" s="671">
        <f>'2223 MFG Protection'!F60</f>
        <v>0</v>
      </c>
      <c r="G57" s="671">
        <f>'2223 MFG Protection'!G60</f>
        <v>0</v>
      </c>
      <c r="H57" s="671">
        <f>'2223 MFG Protection'!H60</f>
        <v>0</v>
      </c>
      <c r="I57" s="671">
        <f>'2223 MFG Protection'!I60</f>
        <v>0</v>
      </c>
      <c r="J57" s="671">
        <f>'2223 MFG Protection'!J60</f>
        <v>0</v>
      </c>
      <c r="K57" s="671">
        <f>'2223 MFG Protection'!K60</f>
        <v>0</v>
      </c>
      <c r="L57" s="37"/>
      <c r="M57" s="7"/>
      <c r="O57" s="7"/>
      <c r="P57" s="7"/>
      <c r="R57" s="351"/>
    </row>
    <row r="58" spans="1:18" x14ac:dyDescent="0.25">
      <c r="A58" s="74">
        <v>9257031</v>
      </c>
      <c r="B58" t="str">
        <f t="shared" si="25"/>
        <v>9257031b</v>
      </c>
      <c r="C58" s="101" t="s">
        <v>353</v>
      </c>
      <c r="D58" s="101" t="s">
        <v>354</v>
      </c>
      <c r="F58" s="671">
        <v>0</v>
      </c>
      <c r="G58" s="671">
        <v>0</v>
      </c>
      <c r="H58" s="671">
        <v>0</v>
      </c>
      <c r="I58" s="671">
        <v>0</v>
      </c>
      <c r="J58" s="671">
        <v>0</v>
      </c>
      <c r="K58" s="671">
        <v>0</v>
      </c>
      <c r="L58" s="37"/>
      <c r="M58" s="7"/>
      <c r="R58" s="351"/>
    </row>
    <row r="59" spans="1:18" x14ac:dyDescent="0.25">
      <c r="A59" s="74"/>
      <c r="B59" t="s">
        <v>367</v>
      </c>
      <c r="C59" s="101" t="s">
        <v>312</v>
      </c>
      <c r="D59" s="101" t="s">
        <v>351</v>
      </c>
      <c r="F59" s="550">
        <f>IF(F57-F58&gt;0,(F57-F58),(0))</f>
        <v>0</v>
      </c>
      <c r="G59" s="550">
        <f t="shared" ref="G59:K59" si="28">IF(G57-G58&gt;0,(G57-G58),(0))</f>
        <v>0</v>
      </c>
      <c r="H59" s="550">
        <f t="shared" si="28"/>
        <v>0</v>
      </c>
      <c r="I59" s="550">
        <f t="shared" si="28"/>
        <v>0</v>
      </c>
      <c r="J59" s="550">
        <f t="shared" si="28"/>
        <v>0</v>
      </c>
      <c r="K59" s="550">
        <f t="shared" si="28"/>
        <v>0</v>
      </c>
      <c r="L59" s="37"/>
      <c r="M59" s="7"/>
      <c r="R59" s="351"/>
    </row>
    <row r="60" spans="1:18" x14ac:dyDescent="0.25">
      <c r="A60" s="74">
        <v>9257031</v>
      </c>
      <c r="B60" t="str">
        <f>CONCATENATE(A60,C60)</f>
        <v>9257031c</v>
      </c>
      <c r="C60" s="101" t="s">
        <v>357</v>
      </c>
      <c r="D60" s="101" t="s">
        <v>217</v>
      </c>
      <c r="F60" s="7">
        <f>IF(F59&lt;0,0,(F59*F56))</f>
        <v>0</v>
      </c>
      <c r="G60" s="7">
        <f t="shared" ref="G60:K60" si="29">IF(G59&lt;0,0,(G59*G56))</f>
        <v>0</v>
      </c>
      <c r="H60" s="7">
        <f t="shared" si="29"/>
        <v>0</v>
      </c>
      <c r="I60" s="7">
        <f t="shared" si="29"/>
        <v>0</v>
      </c>
      <c r="J60" s="7">
        <f t="shared" si="29"/>
        <v>0</v>
      </c>
      <c r="K60" s="7">
        <f t="shared" si="29"/>
        <v>0</v>
      </c>
      <c r="L60" s="141">
        <f>SUM(F60:K60)</f>
        <v>0</v>
      </c>
      <c r="M60" s="140">
        <f>L60-O53</f>
        <v>0</v>
      </c>
      <c r="R60" s="351"/>
    </row>
    <row r="61" spans="1:18" x14ac:dyDescent="0.25">
      <c r="A61" s="78"/>
      <c r="C61" s="101"/>
      <c r="D61" s="101" t="s">
        <v>401</v>
      </c>
      <c r="F61" s="670">
        <v>0</v>
      </c>
      <c r="G61" s="670">
        <v>0</v>
      </c>
      <c r="H61" s="670">
        <v>0</v>
      </c>
      <c r="I61" s="670">
        <v>0</v>
      </c>
      <c r="J61" s="670">
        <v>0</v>
      </c>
      <c r="K61" s="670">
        <v>0</v>
      </c>
      <c r="L61" s="141"/>
      <c r="M61" s="140"/>
      <c r="R61" s="351"/>
    </row>
    <row r="62" spans="1:18" x14ac:dyDescent="0.25">
      <c r="A62" s="171"/>
      <c r="B62" s="171" t="s">
        <v>74</v>
      </c>
      <c r="C62" s="171"/>
      <c r="D62" s="171"/>
      <c r="E62" s="172"/>
      <c r="F62" s="173"/>
      <c r="G62" s="173"/>
      <c r="H62" s="173"/>
      <c r="I62" s="173"/>
      <c r="J62" s="173"/>
      <c r="K62" s="173"/>
      <c r="L62" s="173"/>
      <c r="M62" s="173"/>
      <c r="N62" s="172"/>
      <c r="O62" s="172"/>
      <c r="P62" s="172"/>
      <c r="Q62" s="172"/>
    </row>
    <row r="63" spans="1:18" x14ac:dyDescent="0.25">
      <c r="A63" s="74">
        <v>9257033</v>
      </c>
      <c r="B63" t="str">
        <f>CONCATENATE(A63,C63)</f>
        <v>92570332022/23</v>
      </c>
      <c r="C63" s="672" t="s">
        <v>306</v>
      </c>
      <c r="D63" s="101" t="s">
        <v>346</v>
      </c>
      <c r="E63" s="37">
        <f>SUM(F63:K63)</f>
        <v>0</v>
      </c>
      <c r="F63" s="670">
        <f>'2223 MFG Protection'!F72</f>
        <v>0</v>
      </c>
      <c r="G63" s="670">
        <f>'2223 MFG Protection'!G72</f>
        <v>0</v>
      </c>
      <c r="H63" s="670">
        <f>'2223 MFG Protection'!H72</f>
        <v>0</v>
      </c>
      <c r="I63" s="670">
        <f>'2223 MFG Protection'!I72</f>
        <v>0</v>
      </c>
      <c r="J63" s="670">
        <f>'2223 MFG Protection'!J72</f>
        <v>0</v>
      </c>
      <c r="K63" s="670">
        <f>'2223 MFG Protection'!K72</f>
        <v>0</v>
      </c>
      <c r="L63" s="37"/>
      <c r="N63" s="7"/>
      <c r="O63" s="140">
        <f>'2223 MFG Protection'!L71</f>
        <v>0</v>
      </c>
      <c r="R63" s="351"/>
    </row>
    <row r="64" spans="1:18" x14ac:dyDescent="0.25">
      <c r="A64" s="74">
        <v>9257033</v>
      </c>
      <c r="B64" t="str">
        <f>CONCATENATE(A64,C64)</f>
        <v>92570332023/24</v>
      </c>
      <c r="C64" s="101" t="s">
        <v>312</v>
      </c>
      <c r="D64" t="str">
        <f>CONCATENATE(A64,C64)</f>
        <v>92570332023/24</v>
      </c>
      <c r="E64" s="37">
        <f>VLOOKUP(A64,'2324 Funding Detail'!$A$4:$M$20,13,(FALSE))</f>
        <v>113.75000000000001</v>
      </c>
      <c r="F64" s="549">
        <f>$E$64*'2324 Band Calculations'!D11</f>
        <v>15.371621621621625</v>
      </c>
      <c r="G64" s="549">
        <f>$E$64*'2324 Band Calculations'!E11</f>
        <v>76.858108108108112</v>
      </c>
      <c r="H64" s="549">
        <f>$E$64*'2324 Band Calculations'!F11</f>
        <v>1.0247747747747749</v>
      </c>
      <c r="I64" s="549">
        <f>$E$64*'2324 Band Calculations'!G11</f>
        <v>10.247747747747749</v>
      </c>
      <c r="J64" s="549">
        <f>$E$64*'2324 Band Calculations'!H11</f>
        <v>5.1238738738738743</v>
      </c>
      <c r="K64" s="549">
        <f>$E$64*'2324 Band Calculations'!I11</f>
        <v>3.074324324324325</v>
      </c>
      <c r="L64" s="169">
        <f>$E$64*'2324 Band Calculations'!J11</f>
        <v>2.0495495495495497</v>
      </c>
      <c r="N64" s="7"/>
      <c r="R64" s="351"/>
    </row>
    <row r="65" spans="1:18" x14ac:dyDescent="0.25">
      <c r="A65" s="74">
        <v>9257033</v>
      </c>
      <c r="B65" t="str">
        <f t="shared" ref="B65:B68" si="30">CONCATENATE(A65,C65)</f>
        <v>9257033</v>
      </c>
      <c r="F65" s="170">
        <f t="shared" ref="F65:K65" si="31">F64-F63</f>
        <v>15.371621621621625</v>
      </c>
      <c r="G65" s="170">
        <f t="shared" si="31"/>
        <v>76.858108108108112</v>
      </c>
      <c r="H65" s="170">
        <f t="shared" si="31"/>
        <v>1.0247747747747749</v>
      </c>
      <c r="I65" s="170">
        <f t="shared" si="31"/>
        <v>10.247747747747749</v>
      </c>
      <c r="J65" s="170">
        <f t="shared" si="31"/>
        <v>5.1238738738738743</v>
      </c>
      <c r="K65" s="170">
        <f t="shared" si="31"/>
        <v>3.074324324324325</v>
      </c>
      <c r="R65" s="351"/>
    </row>
    <row r="66" spans="1:18" x14ac:dyDescent="0.25">
      <c r="A66" s="74">
        <v>9257033</v>
      </c>
      <c r="B66" t="str">
        <f t="shared" si="30"/>
        <v>9257033a</v>
      </c>
      <c r="C66" s="101" t="s">
        <v>349</v>
      </c>
      <c r="D66" s="101" t="s">
        <v>346</v>
      </c>
      <c r="F66" s="549">
        <f t="shared" ref="F66:K66" si="32">IF(F63&gt;F64,(F64),(F63))</f>
        <v>0</v>
      </c>
      <c r="G66" s="549">
        <f t="shared" si="32"/>
        <v>0</v>
      </c>
      <c r="H66" s="549">
        <f t="shared" si="32"/>
        <v>0</v>
      </c>
      <c r="I66" s="549">
        <f t="shared" si="32"/>
        <v>0</v>
      </c>
      <c r="J66" s="549">
        <f t="shared" si="32"/>
        <v>0</v>
      </c>
      <c r="K66" s="549">
        <f t="shared" si="32"/>
        <v>0</v>
      </c>
      <c r="L66" s="37"/>
      <c r="M66" s="7"/>
      <c r="O66" s="7"/>
      <c r="P66" s="7"/>
      <c r="R66" s="351"/>
    </row>
    <row r="67" spans="1:18" x14ac:dyDescent="0.25">
      <c r="A67" s="74"/>
      <c r="B67" t="s">
        <v>368</v>
      </c>
      <c r="C67" s="101" t="s">
        <v>306</v>
      </c>
      <c r="D67" s="101" t="s">
        <v>351</v>
      </c>
      <c r="F67" s="664">
        <f>'2223 MFG Protection'!F70</f>
        <v>0</v>
      </c>
      <c r="G67" s="664">
        <f>'2223 MFG Protection'!G70</f>
        <v>0</v>
      </c>
      <c r="H67" s="664">
        <f>'2223 MFG Protection'!H70</f>
        <v>0</v>
      </c>
      <c r="I67" s="664">
        <f>'2223 MFG Protection'!I70</f>
        <v>0</v>
      </c>
      <c r="J67" s="664">
        <f>'2223 MFG Protection'!J70</f>
        <v>0</v>
      </c>
      <c r="K67" s="664">
        <f>'2223 MFG Protection'!K70</f>
        <v>0</v>
      </c>
      <c r="L67" s="37"/>
      <c r="M67" s="7"/>
      <c r="O67" s="7"/>
      <c r="P67" s="7"/>
      <c r="R67" s="351"/>
    </row>
    <row r="68" spans="1:18" x14ac:dyDescent="0.25">
      <c r="A68" s="74">
        <v>9257033</v>
      </c>
      <c r="B68" t="str">
        <f t="shared" si="30"/>
        <v>9257033b</v>
      </c>
      <c r="C68" s="101" t="s">
        <v>353</v>
      </c>
      <c r="D68" s="101" t="s">
        <v>354</v>
      </c>
      <c r="F68" s="671">
        <v>0</v>
      </c>
      <c r="G68" s="671">
        <v>0</v>
      </c>
      <c r="H68" s="671">
        <v>0</v>
      </c>
      <c r="I68" s="671">
        <v>0</v>
      </c>
      <c r="J68" s="671">
        <v>0</v>
      </c>
      <c r="K68" s="671">
        <v>0</v>
      </c>
      <c r="L68" s="37"/>
      <c r="M68" s="7"/>
      <c r="R68" s="351"/>
    </row>
    <row r="69" spans="1:18" x14ac:dyDescent="0.25">
      <c r="A69" s="74"/>
      <c r="B69" t="s">
        <v>369</v>
      </c>
      <c r="C69" s="101" t="s">
        <v>312</v>
      </c>
      <c r="D69" s="101" t="s">
        <v>351</v>
      </c>
      <c r="F69" s="550">
        <f>IF(F67-F68&gt;0,(F67-F68),(0))</f>
        <v>0</v>
      </c>
      <c r="G69" s="550">
        <f t="shared" ref="G69:K69" si="33">IF(G67-G68&gt;0,(G67-G68),(0))</f>
        <v>0</v>
      </c>
      <c r="H69" s="550">
        <f t="shared" si="33"/>
        <v>0</v>
      </c>
      <c r="I69" s="550">
        <f t="shared" si="33"/>
        <v>0</v>
      </c>
      <c r="J69" s="550">
        <f t="shared" si="33"/>
        <v>0</v>
      </c>
      <c r="K69" s="550">
        <f t="shared" si="33"/>
        <v>0</v>
      </c>
      <c r="L69" s="37"/>
      <c r="M69" s="7"/>
      <c r="R69" s="351"/>
    </row>
    <row r="70" spans="1:18" x14ac:dyDescent="0.25">
      <c r="A70" s="74">
        <v>9257033</v>
      </c>
      <c r="B70" t="str">
        <f>CONCATENATE(A70,C70)</f>
        <v>9257033c</v>
      </c>
      <c r="C70" s="101" t="s">
        <v>357</v>
      </c>
      <c r="D70" s="101" t="s">
        <v>217</v>
      </c>
      <c r="F70" s="7">
        <f>IF(F69&lt;0,0,(F69*F66))</f>
        <v>0</v>
      </c>
      <c r="G70" s="7">
        <f t="shared" ref="G70:K70" si="34">IF(G69&lt;0,0,(G69*G66))</f>
        <v>0</v>
      </c>
      <c r="H70" s="7">
        <f t="shared" si="34"/>
        <v>0</v>
      </c>
      <c r="I70" s="7">
        <f t="shared" si="34"/>
        <v>0</v>
      </c>
      <c r="J70" s="7">
        <f t="shared" si="34"/>
        <v>0</v>
      </c>
      <c r="K70" s="7">
        <f t="shared" si="34"/>
        <v>0</v>
      </c>
      <c r="L70" s="141">
        <f>SUM(F70:K70)</f>
        <v>0</v>
      </c>
      <c r="M70" s="140">
        <f>L70-O63</f>
        <v>0</v>
      </c>
      <c r="R70" s="351"/>
    </row>
    <row r="71" spans="1:18" x14ac:dyDescent="0.25">
      <c r="A71" s="78"/>
      <c r="C71" s="101"/>
      <c r="D71" s="101" t="s">
        <v>401</v>
      </c>
      <c r="F71" s="670">
        <v>0</v>
      </c>
      <c r="G71" s="670">
        <v>0</v>
      </c>
      <c r="H71" s="670">
        <v>0</v>
      </c>
      <c r="I71" s="670">
        <v>0</v>
      </c>
      <c r="J71" s="670">
        <v>0</v>
      </c>
      <c r="K71" s="670">
        <v>0</v>
      </c>
      <c r="L71" s="141"/>
      <c r="M71" s="140"/>
      <c r="R71" s="351"/>
    </row>
    <row r="72" spans="1:18" x14ac:dyDescent="0.25">
      <c r="A72" s="171"/>
      <c r="B72" s="171" t="s">
        <v>67</v>
      </c>
      <c r="C72" s="171"/>
      <c r="D72" s="171"/>
      <c r="E72" s="172"/>
      <c r="F72" s="173"/>
      <c r="G72" s="173"/>
      <c r="H72" s="173"/>
      <c r="I72" s="173"/>
      <c r="J72" s="173"/>
      <c r="K72" s="173"/>
      <c r="L72" s="173"/>
      <c r="M72" s="173"/>
      <c r="N72" s="172"/>
      <c r="O72" s="172"/>
      <c r="P72" s="172"/>
      <c r="Q72" s="172"/>
    </row>
    <row r="73" spans="1:18" x14ac:dyDescent="0.25">
      <c r="A73" s="74">
        <v>9257008</v>
      </c>
      <c r="B73" t="str">
        <f>CONCATENATE(A73,C73)</f>
        <v>92570082022/23</v>
      </c>
      <c r="C73" s="672" t="s">
        <v>306</v>
      </c>
      <c r="D73" s="101" t="s">
        <v>346</v>
      </c>
      <c r="E73" s="37">
        <f>SUM(F73:K73)</f>
        <v>0</v>
      </c>
      <c r="F73" s="670">
        <f>'2223 MFG Protection'!F82</f>
        <v>0</v>
      </c>
      <c r="G73" s="670">
        <f>'2223 MFG Protection'!G82</f>
        <v>0</v>
      </c>
      <c r="H73" s="670">
        <f>'2223 MFG Protection'!H82</f>
        <v>0</v>
      </c>
      <c r="I73" s="670">
        <f>'2223 MFG Protection'!I82</f>
        <v>0</v>
      </c>
      <c r="J73" s="670">
        <f>'2223 MFG Protection'!J82</f>
        <v>0</v>
      </c>
      <c r="K73" s="670">
        <f>'2223 MFG Protection'!K82</f>
        <v>0</v>
      </c>
      <c r="L73" s="37"/>
      <c r="N73" s="7"/>
      <c r="O73" s="140">
        <f>'2223 MFG Protection'!L81</f>
        <v>0</v>
      </c>
      <c r="R73" s="351"/>
    </row>
    <row r="74" spans="1:18" x14ac:dyDescent="0.25">
      <c r="A74" s="74">
        <v>9257008</v>
      </c>
      <c r="B74" t="str">
        <f>CONCATENATE(A74,C74)</f>
        <v>92570082023/24</v>
      </c>
      <c r="C74" s="101" t="s">
        <v>312</v>
      </c>
      <c r="D74" t="str">
        <f>CONCATENATE(A74,C74)</f>
        <v>92570082023/24</v>
      </c>
      <c r="E74" s="37">
        <f>VLOOKUP(A74,'2324 Funding Detail'!$A$4:$M$20,13,(FALSE))</f>
        <v>101</v>
      </c>
      <c r="F74" s="549">
        <f>$E$74*'2324 Band Calculations'!D12</f>
        <v>16</v>
      </c>
      <c r="G74" s="549">
        <f>$E$74*'2324 Band Calculations'!E12</f>
        <v>63</v>
      </c>
      <c r="H74" s="549">
        <f>$E$74*'2324 Band Calculations'!F12</f>
        <v>5</v>
      </c>
      <c r="I74" s="549">
        <f>$E$74*'2324 Band Calculations'!G12</f>
        <v>11</v>
      </c>
      <c r="J74" s="549">
        <f>$E$74*'2324 Band Calculations'!H12</f>
        <v>0</v>
      </c>
      <c r="K74" s="549">
        <f>$E$74*'2324 Band Calculations'!I12</f>
        <v>6</v>
      </c>
      <c r="L74" s="169">
        <f>$E$74*'2324 Band Calculations'!J12</f>
        <v>0</v>
      </c>
      <c r="N74" s="7"/>
      <c r="R74" s="351"/>
    </row>
    <row r="75" spans="1:18" x14ac:dyDescent="0.25">
      <c r="A75" s="74">
        <v>9257008</v>
      </c>
      <c r="B75" t="str">
        <f t="shared" ref="B75:B78" si="35">CONCATENATE(A75,C75)</f>
        <v>9257008</v>
      </c>
      <c r="F75" s="170">
        <f t="shared" ref="F75:K75" si="36">F74-F73</f>
        <v>16</v>
      </c>
      <c r="G75" s="170">
        <f t="shared" si="36"/>
        <v>63</v>
      </c>
      <c r="H75" s="170">
        <f t="shared" si="36"/>
        <v>5</v>
      </c>
      <c r="I75" s="170">
        <f t="shared" si="36"/>
        <v>11</v>
      </c>
      <c r="J75" s="170">
        <f t="shared" si="36"/>
        <v>0</v>
      </c>
      <c r="K75" s="170">
        <f t="shared" si="36"/>
        <v>6</v>
      </c>
      <c r="R75" s="351"/>
    </row>
    <row r="76" spans="1:18" x14ac:dyDescent="0.25">
      <c r="A76" s="74">
        <v>9257008</v>
      </c>
      <c r="B76" t="str">
        <f t="shared" si="35"/>
        <v>9257008a</v>
      </c>
      <c r="C76" s="101" t="s">
        <v>349</v>
      </c>
      <c r="D76" s="101" t="s">
        <v>346</v>
      </c>
      <c r="F76" s="549">
        <f t="shared" ref="F76:K76" si="37">IF(F73&gt;F74,(F74),(F73))</f>
        <v>0</v>
      </c>
      <c r="G76" s="549">
        <f t="shared" si="37"/>
        <v>0</v>
      </c>
      <c r="H76" s="549">
        <f t="shared" si="37"/>
        <v>0</v>
      </c>
      <c r="I76" s="549">
        <f t="shared" si="37"/>
        <v>0</v>
      </c>
      <c r="J76" s="549">
        <f t="shared" si="37"/>
        <v>0</v>
      </c>
      <c r="K76" s="549">
        <f t="shared" si="37"/>
        <v>0</v>
      </c>
      <c r="L76" s="37"/>
      <c r="M76" s="7"/>
      <c r="O76" s="7"/>
      <c r="P76" s="7"/>
      <c r="R76" s="351"/>
    </row>
    <row r="77" spans="1:18" x14ac:dyDescent="0.25">
      <c r="A77" s="74"/>
      <c r="B77" t="s">
        <v>370</v>
      </c>
      <c r="C77" s="101" t="s">
        <v>306</v>
      </c>
      <c r="D77" s="101" t="s">
        <v>351</v>
      </c>
      <c r="F77" s="664">
        <f>'2223 MFG Protection'!F80</f>
        <v>0</v>
      </c>
      <c r="G77" s="664">
        <f>'2223 MFG Protection'!G80</f>
        <v>0</v>
      </c>
      <c r="H77" s="664">
        <f>'2223 MFG Protection'!H80</f>
        <v>0</v>
      </c>
      <c r="I77" s="664">
        <f>'2223 MFG Protection'!I80</f>
        <v>0</v>
      </c>
      <c r="J77" s="664">
        <f>'2223 MFG Protection'!J80</f>
        <v>0</v>
      </c>
      <c r="K77" s="664">
        <f>'2223 MFG Protection'!K80</f>
        <v>0</v>
      </c>
      <c r="L77" s="37"/>
      <c r="M77" s="7"/>
      <c r="O77" s="7"/>
      <c r="P77" s="7"/>
      <c r="R77" s="351"/>
    </row>
    <row r="78" spans="1:18" x14ac:dyDescent="0.25">
      <c r="A78" s="74">
        <v>9257008</v>
      </c>
      <c r="B78" t="str">
        <f t="shared" si="35"/>
        <v>9257008b</v>
      </c>
      <c r="C78" s="101" t="s">
        <v>353</v>
      </c>
      <c r="D78" s="101" t="s">
        <v>354</v>
      </c>
      <c r="F78" s="671">
        <v>0</v>
      </c>
      <c r="G78" s="671">
        <v>0</v>
      </c>
      <c r="H78" s="671">
        <v>0</v>
      </c>
      <c r="I78" s="671">
        <v>0</v>
      </c>
      <c r="J78" s="671">
        <v>0</v>
      </c>
      <c r="K78" s="671">
        <v>0</v>
      </c>
      <c r="L78" s="37"/>
      <c r="M78" s="7"/>
      <c r="R78" s="351"/>
    </row>
    <row r="79" spans="1:18" x14ac:dyDescent="0.25">
      <c r="A79" s="74"/>
      <c r="B79" t="s">
        <v>371</v>
      </c>
      <c r="C79" s="101" t="s">
        <v>312</v>
      </c>
      <c r="D79" s="101" t="s">
        <v>351</v>
      </c>
      <c r="F79" s="550">
        <f>IF(F77-F78&gt;0,(F77-F78),(0))</f>
        <v>0</v>
      </c>
      <c r="G79" s="550">
        <f t="shared" ref="G79:K79" si="38">IF(G77-G78&gt;0,(G77-G78),(0))</f>
        <v>0</v>
      </c>
      <c r="H79" s="550">
        <f t="shared" si="38"/>
        <v>0</v>
      </c>
      <c r="I79" s="550">
        <f t="shared" si="38"/>
        <v>0</v>
      </c>
      <c r="J79" s="550">
        <f t="shared" si="38"/>
        <v>0</v>
      </c>
      <c r="K79" s="550">
        <f t="shared" si="38"/>
        <v>0</v>
      </c>
      <c r="L79" s="37"/>
      <c r="M79" s="7"/>
      <c r="R79" s="351"/>
    </row>
    <row r="80" spans="1:18" x14ac:dyDescent="0.25">
      <c r="A80" s="74">
        <v>9257008</v>
      </c>
      <c r="B80" t="str">
        <f>CONCATENATE(A80,C80)</f>
        <v>9257008c</v>
      </c>
      <c r="C80" s="101" t="s">
        <v>357</v>
      </c>
      <c r="D80" s="101" t="s">
        <v>217</v>
      </c>
      <c r="F80" s="7">
        <f>IF(F79&lt;0,0,(F79*F76))</f>
        <v>0</v>
      </c>
      <c r="G80" s="7">
        <f t="shared" ref="G80:K80" si="39">IF(G79&lt;0,0,(G79*G76))</f>
        <v>0</v>
      </c>
      <c r="H80" s="7">
        <f t="shared" si="39"/>
        <v>0</v>
      </c>
      <c r="I80" s="7">
        <f t="shared" si="39"/>
        <v>0</v>
      </c>
      <c r="J80" s="7">
        <f t="shared" si="39"/>
        <v>0</v>
      </c>
      <c r="K80" s="7">
        <f t="shared" si="39"/>
        <v>0</v>
      </c>
      <c r="L80" s="141">
        <f>SUM(F80:K80)</f>
        <v>0</v>
      </c>
      <c r="M80" s="140">
        <f>L80-O73</f>
        <v>0</v>
      </c>
      <c r="R80" s="351"/>
    </row>
    <row r="81" spans="1:18" x14ac:dyDescent="0.25">
      <c r="A81" s="78"/>
      <c r="C81" s="101"/>
      <c r="D81" s="101" t="s">
        <v>401</v>
      </c>
      <c r="F81" s="670">
        <v>0</v>
      </c>
      <c r="G81" s="670">
        <v>0</v>
      </c>
      <c r="H81" s="670">
        <v>0</v>
      </c>
      <c r="I81" s="670">
        <v>0</v>
      </c>
      <c r="J81" s="670">
        <v>0</v>
      </c>
      <c r="K81" s="670">
        <v>0</v>
      </c>
      <c r="L81" s="141"/>
      <c r="M81" s="140"/>
      <c r="R81" s="351"/>
    </row>
    <row r="82" spans="1:18" x14ac:dyDescent="0.25">
      <c r="A82" s="171"/>
      <c r="B82" s="171" t="s">
        <v>75</v>
      </c>
      <c r="C82" s="171"/>
      <c r="D82" s="171"/>
      <c r="E82" s="172"/>
      <c r="F82" s="173"/>
      <c r="G82" s="173"/>
      <c r="H82" s="173"/>
      <c r="I82" s="173"/>
      <c r="J82" s="173"/>
      <c r="K82" s="173"/>
      <c r="L82" s="173"/>
      <c r="M82" s="173"/>
      <c r="N82" s="172"/>
      <c r="O82" s="172"/>
      <c r="P82" s="172"/>
      <c r="Q82" s="172"/>
    </row>
    <row r="83" spans="1:18" x14ac:dyDescent="0.25">
      <c r="A83" s="74">
        <v>9257034</v>
      </c>
      <c r="B83" t="str">
        <f>CONCATENATE(A83,C83)</f>
        <v>92570342022/23</v>
      </c>
      <c r="C83" s="672" t="s">
        <v>306</v>
      </c>
      <c r="D83" s="101" t="s">
        <v>346</v>
      </c>
      <c r="E83" s="37">
        <f>SUM(F83:K83)</f>
        <v>91.462770061728406</v>
      </c>
      <c r="F83" s="673">
        <f>'2223 MFG Protection'!F92</f>
        <v>48.923363095238102</v>
      </c>
      <c r="G83" s="673">
        <f>'2223 MFG Protection'!G92</f>
        <v>31.227678571428569</v>
      </c>
      <c r="H83" s="673">
        <f>'2223 MFG Protection'!H92</f>
        <v>11.311728395061728</v>
      </c>
      <c r="I83" s="673">
        <f>'2223 MFG Protection'!I92</f>
        <v>0</v>
      </c>
      <c r="J83" s="673">
        <f>'2223 MFG Protection'!J92</f>
        <v>0</v>
      </c>
      <c r="K83" s="673">
        <f>'2223 MFG Protection'!K92</f>
        <v>0</v>
      </c>
      <c r="L83" s="169"/>
      <c r="N83" s="7"/>
      <c r="O83" s="140">
        <f>'2223 MFG Protection'!L91</f>
        <v>34011.53444176296</v>
      </c>
      <c r="R83" s="351"/>
    </row>
    <row r="84" spans="1:18" x14ac:dyDescent="0.25">
      <c r="A84" s="74">
        <v>9257034</v>
      </c>
      <c r="B84" t="str">
        <f>CONCATENATE(A84,C84)</f>
        <v>92570342023/24</v>
      </c>
      <c r="C84" s="101" t="s">
        <v>312</v>
      </c>
      <c r="D84" t="str">
        <f>CONCATENATE(A84,C84)</f>
        <v>92570342023/24</v>
      </c>
      <c r="E84" s="37">
        <f>VLOOKUP(A84,'2324 Funding Detail'!$A$4:$M$20,13,(FALSE))</f>
        <v>128.33333333333334</v>
      </c>
      <c r="F84" s="549">
        <f>$E$84*'2324 Band Calculations'!D13</f>
        <v>54.843304843304843</v>
      </c>
      <c r="G84" s="549">
        <f>$E$84*'2324 Band Calculations'!E13</f>
        <v>44.971509971509974</v>
      </c>
      <c r="H84" s="549">
        <f>$E$84*'2324 Band Calculations'!F13</f>
        <v>12.065527065527066</v>
      </c>
      <c r="I84" s="549">
        <f>$E$84*'2324 Band Calculations'!G13</f>
        <v>6.5811965811965818</v>
      </c>
      <c r="J84" s="549">
        <f>$E$84*'2324 Band Calculations'!H13</f>
        <v>3.2905982905982909</v>
      </c>
      <c r="K84" s="549">
        <f>$E$84*'2324 Band Calculations'!I13</f>
        <v>5.484330484330485</v>
      </c>
      <c r="L84" s="169">
        <f>$E$84*'2324 Band Calculations'!J13</f>
        <v>1.096866096866097</v>
      </c>
      <c r="N84" s="7"/>
      <c r="R84" s="351"/>
    </row>
    <row r="85" spans="1:18" x14ac:dyDescent="0.25">
      <c r="A85" s="74">
        <v>9257034</v>
      </c>
      <c r="B85" t="str">
        <f t="shared" ref="B85:B88" si="40">CONCATENATE(A85,C85)</f>
        <v>9257034</v>
      </c>
      <c r="F85" s="170">
        <f t="shared" ref="F85:K85" si="41">F84-F83</f>
        <v>5.9199417480667407</v>
      </c>
      <c r="G85" s="170">
        <f t="shared" si="41"/>
        <v>13.743831400081405</v>
      </c>
      <c r="H85" s="170">
        <f t="shared" si="41"/>
        <v>0.75379867046533811</v>
      </c>
      <c r="I85" s="170">
        <f t="shared" si="41"/>
        <v>6.5811965811965818</v>
      </c>
      <c r="J85" s="170">
        <f t="shared" si="41"/>
        <v>3.2905982905982909</v>
      </c>
      <c r="K85" s="170">
        <f t="shared" si="41"/>
        <v>5.484330484330485</v>
      </c>
      <c r="R85" s="351"/>
    </row>
    <row r="86" spans="1:18" x14ac:dyDescent="0.25">
      <c r="A86" s="74">
        <v>9257034</v>
      </c>
      <c r="B86" t="str">
        <f t="shared" si="40"/>
        <v>9257034a</v>
      </c>
      <c r="C86" s="101" t="s">
        <v>349</v>
      </c>
      <c r="D86" s="101" t="s">
        <v>346</v>
      </c>
      <c r="F86" s="549">
        <f t="shared" ref="F86:K86" si="42">IF(F83&gt;F84,(F84),(F83))</f>
        <v>48.923363095238102</v>
      </c>
      <c r="G86" s="549">
        <f t="shared" si="42"/>
        <v>31.227678571428569</v>
      </c>
      <c r="H86" s="549">
        <f t="shared" si="42"/>
        <v>11.311728395061728</v>
      </c>
      <c r="I86" s="549">
        <f t="shared" si="42"/>
        <v>0</v>
      </c>
      <c r="J86" s="549">
        <f t="shared" si="42"/>
        <v>0</v>
      </c>
      <c r="K86" s="549">
        <f t="shared" si="42"/>
        <v>0</v>
      </c>
      <c r="L86" s="37"/>
      <c r="M86" s="7"/>
      <c r="O86" s="7"/>
      <c r="P86" s="7"/>
      <c r="R86" s="351"/>
    </row>
    <row r="87" spans="1:18" x14ac:dyDescent="0.25">
      <c r="A87" s="74"/>
      <c r="B87" t="s">
        <v>372</v>
      </c>
      <c r="C87" s="101" t="s">
        <v>306</v>
      </c>
      <c r="D87" s="101" t="s">
        <v>351</v>
      </c>
      <c r="F87" s="664">
        <f>'2223 MFG Protection'!F90</f>
        <v>438.22319297605691</v>
      </c>
      <c r="G87" s="664">
        <f>'2223 MFG Protection'!G90</f>
        <v>396.47750499364747</v>
      </c>
      <c r="H87" s="664">
        <f>'2223 MFG Protection'!H90</f>
        <v>16.894851221903082</v>
      </c>
      <c r="I87" s="664">
        <f>'2223 MFG Protection'!I90</f>
        <v>0</v>
      </c>
      <c r="J87" s="664">
        <f>'2223 MFG Protection'!J90</f>
        <v>0</v>
      </c>
      <c r="K87" s="664">
        <f>'2223 MFG Protection'!K90</f>
        <v>0</v>
      </c>
      <c r="L87" s="37"/>
      <c r="M87" s="7"/>
      <c r="O87" s="7"/>
      <c r="P87" s="7"/>
      <c r="R87" s="351"/>
    </row>
    <row r="88" spans="1:18" x14ac:dyDescent="0.25">
      <c r="A88" s="74">
        <v>9257034</v>
      </c>
      <c r="B88" t="str">
        <f t="shared" si="40"/>
        <v>9257034b</v>
      </c>
      <c r="C88" s="101" t="s">
        <v>353</v>
      </c>
      <c r="D88" s="101" t="s">
        <v>354</v>
      </c>
      <c r="F88" s="671">
        <v>0</v>
      </c>
      <c r="G88" s="671">
        <v>0</v>
      </c>
      <c r="H88" s="671">
        <v>0</v>
      </c>
      <c r="I88" s="671">
        <v>0</v>
      </c>
      <c r="J88" s="671">
        <v>0</v>
      </c>
      <c r="K88" s="671">
        <v>0</v>
      </c>
      <c r="L88" s="37"/>
      <c r="M88" s="7"/>
      <c r="R88" s="351"/>
    </row>
    <row r="89" spans="1:18" x14ac:dyDescent="0.25">
      <c r="A89" s="74"/>
      <c r="B89" t="s">
        <v>373</v>
      </c>
      <c r="C89" s="101" t="s">
        <v>312</v>
      </c>
      <c r="D89" s="101" t="s">
        <v>351</v>
      </c>
      <c r="F89" s="550">
        <f>IF(F87-F88&gt;0,(F87-F88),(0))</f>
        <v>438.22319297605691</v>
      </c>
      <c r="G89" s="550">
        <f t="shared" ref="G89:K89" si="43">IF(G87-G88&gt;0,(G87-G88),(0))</f>
        <v>396.47750499364747</v>
      </c>
      <c r="H89" s="550">
        <f t="shared" si="43"/>
        <v>16.894851221903082</v>
      </c>
      <c r="I89" s="550">
        <f t="shared" si="43"/>
        <v>0</v>
      </c>
      <c r="J89" s="550">
        <f t="shared" si="43"/>
        <v>0</v>
      </c>
      <c r="K89" s="550">
        <f t="shared" si="43"/>
        <v>0</v>
      </c>
      <c r="L89" s="37"/>
      <c r="M89" s="7"/>
      <c r="R89" s="351"/>
    </row>
    <row r="90" spans="1:18" x14ac:dyDescent="0.25">
      <c r="A90" s="74">
        <v>9257034</v>
      </c>
      <c r="B90" t="str">
        <f>CONCATENATE(A90,C90)</f>
        <v>9257034c</v>
      </c>
      <c r="C90" s="101" t="s">
        <v>357</v>
      </c>
      <c r="D90" s="101" t="s">
        <v>217</v>
      </c>
      <c r="F90" s="7">
        <f t="shared" ref="F90:K90" si="44">IF(F89&lt;0,0,(F89*F86))</f>
        <v>21439.352386722228</v>
      </c>
      <c r="G90" s="7">
        <f t="shared" si="44"/>
        <v>12381.072086743588</v>
      </c>
      <c r="H90" s="7">
        <f t="shared" si="44"/>
        <v>191.10996829714441</v>
      </c>
      <c r="I90" s="7">
        <f t="shared" si="44"/>
        <v>0</v>
      </c>
      <c r="J90" s="7">
        <f t="shared" si="44"/>
        <v>0</v>
      </c>
      <c r="K90" s="7">
        <f t="shared" si="44"/>
        <v>0</v>
      </c>
      <c r="L90" s="141">
        <f>SUM(F90:K90)</f>
        <v>34011.53444176296</v>
      </c>
      <c r="M90" s="140">
        <f>L90-O83</f>
        <v>0</v>
      </c>
      <c r="R90" s="351"/>
    </row>
    <row r="91" spans="1:18" x14ac:dyDescent="0.25">
      <c r="A91" s="78"/>
      <c r="C91" s="101"/>
      <c r="D91" s="101" t="s">
        <v>401</v>
      </c>
      <c r="F91" s="670">
        <v>48.923363095238102</v>
      </c>
      <c r="G91" s="670">
        <v>31.227678571428569</v>
      </c>
      <c r="H91" s="670">
        <v>11.311728395061728</v>
      </c>
      <c r="I91" s="670">
        <v>0</v>
      </c>
      <c r="J91" s="670">
        <v>0</v>
      </c>
      <c r="K91" s="670">
        <v>0</v>
      </c>
      <c r="L91" s="141"/>
      <c r="M91" s="140"/>
      <c r="R91" s="351"/>
    </row>
    <row r="92" spans="1:18" x14ac:dyDescent="0.25">
      <c r="A92" s="171"/>
      <c r="B92" s="171" t="s">
        <v>68</v>
      </c>
      <c r="C92" s="171"/>
      <c r="D92" s="171"/>
      <c r="E92" s="172"/>
      <c r="F92" s="173"/>
      <c r="G92" s="173"/>
      <c r="H92" s="173"/>
      <c r="I92" s="173"/>
      <c r="J92" s="173"/>
      <c r="K92" s="173"/>
      <c r="L92" s="173"/>
      <c r="M92" s="173"/>
      <c r="N92" s="172"/>
      <c r="O92" s="172"/>
      <c r="P92" s="172"/>
      <c r="Q92" s="172"/>
    </row>
    <row r="93" spans="1:18" x14ac:dyDescent="0.25">
      <c r="A93" s="74">
        <v>9257002</v>
      </c>
      <c r="B93" t="str">
        <f>CONCATENATE(A93,C93)</f>
        <v>92570022022/23</v>
      </c>
      <c r="C93" s="672" t="s">
        <v>306</v>
      </c>
      <c r="D93" s="101" t="s">
        <v>346</v>
      </c>
      <c r="E93" s="37">
        <f>SUM(F93:K93)</f>
        <v>0</v>
      </c>
      <c r="F93" s="674">
        <f>'2223 MFG Protection'!F102</f>
        <v>0</v>
      </c>
      <c r="G93" s="674">
        <f>'2223 MFG Protection'!G102</f>
        <v>0</v>
      </c>
      <c r="H93" s="674">
        <f>'2223 MFG Protection'!H102</f>
        <v>0</v>
      </c>
      <c r="I93" s="674">
        <f>'2223 MFG Protection'!I102</f>
        <v>0</v>
      </c>
      <c r="J93" s="674">
        <f>'2223 MFG Protection'!J102</f>
        <v>0</v>
      </c>
      <c r="K93" s="674">
        <f>'2223 MFG Protection'!K102</f>
        <v>0</v>
      </c>
      <c r="L93" s="353"/>
      <c r="N93" s="7"/>
      <c r="O93" s="140">
        <f>'2223 MFG Protection'!L101</f>
        <v>0</v>
      </c>
      <c r="R93" s="351"/>
    </row>
    <row r="94" spans="1:18" x14ac:dyDescent="0.25">
      <c r="A94" s="74">
        <v>9257002</v>
      </c>
      <c r="B94" t="str">
        <f>CONCATENATE(A94,C94)</f>
        <v>92570022023/24</v>
      </c>
      <c r="C94" s="101" t="s">
        <v>312</v>
      </c>
      <c r="D94" t="str">
        <f>CONCATENATE(A94,C94)</f>
        <v>92570022023/24</v>
      </c>
      <c r="E94" s="37">
        <f>VLOOKUP(A94,'2324 Funding Detail'!$A$4:$M$20,13,(FALSE))</f>
        <v>168.91666666666669</v>
      </c>
      <c r="F94" s="549">
        <f>$E$94*'2324 Band Calculations'!D14</f>
        <v>29.869410569105693</v>
      </c>
      <c r="G94" s="549">
        <f>$E$94*'2324 Band Calculations'!E14</f>
        <v>87.54827235772359</v>
      </c>
      <c r="H94" s="549">
        <f>$E$94*'2324 Band Calculations'!F14</f>
        <v>21.62957317073171</v>
      </c>
      <c r="I94" s="549">
        <f>$E$94*'2324 Band Calculations'!G14</f>
        <v>6.1798780487804885</v>
      </c>
      <c r="J94" s="549">
        <f>$E$94*'2324 Band Calculations'!H14</f>
        <v>5.1498983739837403</v>
      </c>
      <c r="K94" s="549">
        <f>$E$94*'2324 Band Calculations'!I14</f>
        <v>16.479674796747968</v>
      </c>
      <c r="L94" s="169">
        <f>$E$94*'2324 Band Calculations'!J14</f>
        <v>2.059959349593496</v>
      </c>
      <c r="N94" s="7"/>
      <c r="R94" s="351"/>
    </row>
    <row r="95" spans="1:18" x14ac:dyDescent="0.25">
      <c r="A95" s="74">
        <v>9257002</v>
      </c>
      <c r="B95" t="str">
        <f t="shared" ref="B95:B98" si="45">CONCATENATE(A95,C95)</f>
        <v>9257002</v>
      </c>
      <c r="F95" s="170">
        <f t="shared" ref="F95:K95" si="46">F94-F93</f>
        <v>29.869410569105693</v>
      </c>
      <c r="G95" s="170">
        <f t="shared" si="46"/>
        <v>87.54827235772359</v>
      </c>
      <c r="H95" s="170">
        <f t="shared" si="46"/>
        <v>21.62957317073171</v>
      </c>
      <c r="I95" s="170">
        <f>I94-I93</f>
        <v>6.1798780487804885</v>
      </c>
      <c r="J95" s="170">
        <f t="shared" si="46"/>
        <v>5.1498983739837403</v>
      </c>
      <c r="K95" s="170">
        <f t="shared" si="46"/>
        <v>16.479674796747968</v>
      </c>
      <c r="R95" s="351"/>
    </row>
    <row r="96" spans="1:18" x14ac:dyDescent="0.25">
      <c r="A96" s="74">
        <v>9257002</v>
      </c>
      <c r="B96" t="str">
        <f t="shared" si="45"/>
        <v>9257002a</v>
      </c>
      <c r="C96" s="101" t="s">
        <v>349</v>
      </c>
      <c r="D96" s="101" t="s">
        <v>346</v>
      </c>
      <c r="F96" s="549">
        <f t="shared" ref="F96:K96" si="47">IF(F93&gt;F94,(F94),(F93))</f>
        <v>0</v>
      </c>
      <c r="G96" s="549">
        <f t="shared" si="47"/>
        <v>0</v>
      </c>
      <c r="H96" s="549">
        <f t="shared" si="47"/>
        <v>0</v>
      </c>
      <c r="I96" s="549">
        <f t="shared" si="47"/>
        <v>0</v>
      </c>
      <c r="J96" s="549">
        <f t="shared" si="47"/>
        <v>0</v>
      </c>
      <c r="K96" s="549">
        <f t="shared" si="47"/>
        <v>0</v>
      </c>
      <c r="L96" s="37"/>
      <c r="M96" s="7"/>
      <c r="O96" s="7"/>
      <c r="P96" s="7"/>
      <c r="R96" s="351"/>
    </row>
    <row r="97" spans="1:18" x14ac:dyDescent="0.25">
      <c r="A97" s="74"/>
      <c r="B97" t="s">
        <v>374</v>
      </c>
      <c r="C97" s="101" t="s">
        <v>306</v>
      </c>
      <c r="D97" s="101" t="s">
        <v>351</v>
      </c>
      <c r="F97" s="664">
        <f>'2223 MFG Protection'!F100</f>
        <v>0</v>
      </c>
      <c r="G97" s="664">
        <f>'2223 MFG Protection'!G100</f>
        <v>0</v>
      </c>
      <c r="H97" s="664">
        <f>'2223 MFG Protection'!H100</f>
        <v>0</v>
      </c>
      <c r="I97" s="664">
        <f>'2223 MFG Protection'!I100</f>
        <v>0</v>
      </c>
      <c r="J97" s="664">
        <f>'2223 MFG Protection'!J100</f>
        <v>0</v>
      </c>
      <c r="K97" s="664">
        <f>'2223 MFG Protection'!K100</f>
        <v>0</v>
      </c>
      <c r="L97" s="37"/>
      <c r="M97" s="7"/>
      <c r="O97" s="7"/>
      <c r="P97" s="7"/>
      <c r="R97" s="351"/>
    </row>
    <row r="98" spans="1:18" x14ac:dyDescent="0.25">
      <c r="A98" s="74">
        <v>9257002</v>
      </c>
      <c r="B98" t="str">
        <f t="shared" si="45"/>
        <v>9257002b</v>
      </c>
      <c r="C98" s="101" t="s">
        <v>353</v>
      </c>
      <c r="D98" s="101" t="s">
        <v>354</v>
      </c>
      <c r="F98" s="671">
        <v>0</v>
      </c>
      <c r="G98" s="671">
        <v>0</v>
      </c>
      <c r="H98" s="671">
        <v>0</v>
      </c>
      <c r="I98" s="671">
        <v>0</v>
      </c>
      <c r="J98" s="671">
        <v>0</v>
      </c>
      <c r="K98" s="671">
        <v>0</v>
      </c>
      <c r="L98" s="37"/>
      <c r="M98" s="7"/>
      <c r="O98" s="7"/>
      <c r="P98" s="7"/>
      <c r="R98" s="351"/>
    </row>
    <row r="99" spans="1:18" x14ac:dyDescent="0.25">
      <c r="A99" s="74"/>
      <c r="B99" t="s">
        <v>375</v>
      </c>
      <c r="C99" s="101" t="s">
        <v>312</v>
      </c>
      <c r="D99" s="101" t="s">
        <v>351</v>
      </c>
      <c r="F99" s="550">
        <f>IF(F97-F98&gt;0,(F97-F98),(0))</f>
        <v>0</v>
      </c>
      <c r="G99" s="550">
        <f t="shared" ref="G99:K99" si="48">IF(G97-G98&gt;0,(G97-G98),(0))</f>
        <v>0</v>
      </c>
      <c r="H99" s="550">
        <f t="shared" si="48"/>
        <v>0</v>
      </c>
      <c r="I99" s="550">
        <f t="shared" si="48"/>
        <v>0</v>
      </c>
      <c r="J99" s="550">
        <f t="shared" si="48"/>
        <v>0</v>
      </c>
      <c r="K99" s="550">
        <f t="shared" si="48"/>
        <v>0</v>
      </c>
      <c r="L99" s="37"/>
      <c r="M99" s="7"/>
      <c r="O99" s="7"/>
      <c r="P99" s="7"/>
      <c r="R99" s="351"/>
    </row>
    <row r="100" spans="1:18" x14ac:dyDescent="0.25">
      <c r="A100" s="74">
        <v>9257002</v>
      </c>
      <c r="B100" t="str">
        <f>CONCATENATE(A100,C100)</f>
        <v>9257002c</v>
      </c>
      <c r="C100" s="101" t="s">
        <v>357</v>
      </c>
      <c r="D100" s="101" t="s">
        <v>217</v>
      </c>
      <c r="F100" s="7">
        <f t="shared" ref="F100:K100" si="49">IF(F99&lt;0,0,(F99*F96))</f>
        <v>0</v>
      </c>
      <c r="G100" s="7">
        <f t="shared" si="49"/>
        <v>0</v>
      </c>
      <c r="H100" s="7">
        <f t="shared" si="49"/>
        <v>0</v>
      </c>
      <c r="I100" s="7">
        <f t="shared" si="49"/>
        <v>0</v>
      </c>
      <c r="J100" s="7">
        <f t="shared" si="49"/>
        <v>0</v>
      </c>
      <c r="K100" s="7">
        <f t="shared" si="49"/>
        <v>0</v>
      </c>
      <c r="L100" s="141">
        <f>SUM(F100:K100)</f>
        <v>0</v>
      </c>
      <c r="M100" s="140">
        <f>L100-O93</f>
        <v>0</v>
      </c>
      <c r="O100" s="7"/>
      <c r="P100" s="7"/>
      <c r="R100" s="351"/>
    </row>
    <row r="101" spans="1:18" x14ac:dyDescent="0.25">
      <c r="A101" s="78"/>
      <c r="C101" s="101"/>
      <c r="D101" s="101" t="s">
        <v>401</v>
      </c>
      <c r="F101" s="670">
        <v>0</v>
      </c>
      <c r="G101" s="670">
        <v>0</v>
      </c>
      <c r="H101" s="670">
        <v>0</v>
      </c>
      <c r="I101" s="670">
        <v>0</v>
      </c>
      <c r="J101" s="670">
        <v>0</v>
      </c>
      <c r="K101" s="670">
        <v>0</v>
      </c>
      <c r="L101" s="141"/>
      <c r="M101" s="140"/>
      <c r="O101" s="7"/>
      <c r="P101" s="7"/>
      <c r="R101" s="351"/>
    </row>
    <row r="102" spans="1:18" x14ac:dyDescent="0.25">
      <c r="A102" s="171"/>
      <c r="B102" s="171" t="s">
        <v>69</v>
      </c>
      <c r="C102" s="171"/>
      <c r="D102" s="171"/>
      <c r="E102" s="172"/>
      <c r="F102" s="173"/>
      <c r="G102" s="173"/>
      <c r="H102" s="173"/>
      <c r="I102" s="173"/>
      <c r="J102" s="173"/>
      <c r="K102" s="173"/>
      <c r="L102" s="173"/>
      <c r="M102" s="173"/>
      <c r="N102" s="172"/>
      <c r="O102" s="172"/>
      <c r="P102" s="172"/>
      <c r="Q102" s="172"/>
    </row>
    <row r="103" spans="1:18" x14ac:dyDescent="0.25">
      <c r="A103" s="341">
        <v>9257009</v>
      </c>
      <c r="B103" t="str">
        <f>CONCATENATE(A103,C103)</f>
        <v>92570092022/23</v>
      </c>
      <c r="C103" s="672" t="s">
        <v>306</v>
      </c>
      <c r="D103" s="101" t="s">
        <v>346</v>
      </c>
      <c r="E103" s="37">
        <f>SUM(F103:K103)</f>
        <v>91.207316132515729</v>
      </c>
      <c r="F103" s="670">
        <f>'2223 MFG Protection'!F112</f>
        <v>23.122739018087856</v>
      </c>
      <c r="G103" s="670">
        <f>'2223 MFG Protection'!G112</f>
        <v>68.084577114427873</v>
      </c>
      <c r="H103" s="670">
        <f>'2223 MFG Protection'!H112</f>
        <v>0</v>
      </c>
      <c r="I103" s="670">
        <f>'2223 MFG Protection'!I112</f>
        <v>0</v>
      </c>
      <c r="J103" s="670">
        <f>'2223 MFG Protection'!J112</f>
        <v>0</v>
      </c>
      <c r="K103" s="670">
        <f>'2223 MFG Protection'!K112</f>
        <v>0</v>
      </c>
      <c r="L103" s="37"/>
      <c r="M103" s="7"/>
      <c r="N103" s="7"/>
      <c r="O103" s="140">
        <f>'2223 MFG Protection'!L111</f>
        <v>34686.323739454252</v>
      </c>
      <c r="R103" s="351"/>
    </row>
    <row r="104" spans="1:18" x14ac:dyDescent="0.25">
      <c r="A104" s="341">
        <v>9257009</v>
      </c>
      <c r="B104" t="str">
        <f>CONCATENATE(A104,C104)</f>
        <v>92570092023/24</v>
      </c>
      <c r="C104" s="101" t="s">
        <v>312</v>
      </c>
      <c r="D104" t="str">
        <f>CONCATENATE(A104,C104)</f>
        <v>92570092023/24</v>
      </c>
      <c r="E104" s="37">
        <f>VLOOKUP(A104,'2324 Funding Detail'!$A$4:$M$20,13,(FALSE))</f>
        <v>207.83333333333337</v>
      </c>
      <c r="F104" s="549">
        <f>$E$104*'2324 Band Calculations'!D15</f>
        <v>35.869712351945857</v>
      </c>
      <c r="G104" s="549">
        <f>$E$104*'2324 Band Calculations'!E15</f>
        <v>105.49915397631135</v>
      </c>
      <c r="H104" s="549">
        <f>$E$104*'2324 Band Calculations'!F15</f>
        <v>13.714890016920476</v>
      </c>
      <c r="I104" s="549">
        <f>$E$104*'2324 Band Calculations'!G15</f>
        <v>16.879864636209817</v>
      </c>
      <c r="J104" s="549">
        <f>$E$104*'2324 Band Calculations'!H15</f>
        <v>7.3849407783417957</v>
      </c>
      <c r="K104" s="549">
        <f>$E$104*'2324 Band Calculations'!I15</f>
        <v>17.934856175972929</v>
      </c>
      <c r="L104" s="169">
        <f>$E$104*'2324 Band Calculations'!J15</f>
        <v>10.549915397631136</v>
      </c>
      <c r="N104" s="7"/>
      <c r="R104" s="351"/>
    </row>
    <row r="105" spans="1:18" x14ac:dyDescent="0.25">
      <c r="A105" s="341">
        <v>9257009</v>
      </c>
      <c r="B105" t="str">
        <f t="shared" ref="B105:B108" si="50">CONCATENATE(A105,C105)</f>
        <v>9257009</v>
      </c>
      <c r="F105" s="170">
        <f t="shared" ref="F105:K105" si="51">F104-F103</f>
        <v>12.746973333858001</v>
      </c>
      <c r="G105" s="170">
        <f t="shared" si="51"/>
        <v>37.414576861883475</v>
      </c>
      <c r="H105" s="170">
        <f t="shared" si="51"/>
        <v>13.714890016920476</v>
      </c>
      <c r="I105" s="170">
        <f t="shared" si="51"/>
        <v>16.879864636209817</v>
      </c>
      <c r="J105" s="170">
        <f t="shared" si="51"/>
        <v>7.3849407783417957</v>
      </c>
      <c r="K105" s="170">
        <f t="shared" si="51"/>
        <v>17.934856175972929</v>
      </c>
      <c r="L105" s="37">
        <f>L103+L104</f>
        <v>10.549915397631136</v>
      </c>
      <c r="M105" s="7"/>
      <c r="R105" s="351"/>
    </row>
    <row r="106" spans="1:18" x14ac:dyDescent="0.25">
      <c r="A106" s="341">
        <v>9257009</v>
      </c>
      <c r="B106" t="str">
        <f t="shared" si="50"/>
        <v>9257009a</v>
      </c>
      <c r="C106" s="101" t="s">
        <v>349</v>
      </c>
      <c r="D106" s="101" t="s">
        <v>346</v>
      </c>
      <c r="F106" s="549">
        <f t="shared" ref="F106:K106" si="52">IF(F103&gt;F104,(F104),(F103))</f>
        <v>23.122739018087856</v>
      </c>
      <c r="G106" s="549">
        <f t="shared" si="52"/>
        <v>68.084577114427873</v>
      </c>
      <c r="H106" s="549">
        <f t="shared" si="52"/>
        <v>0</v>
      </c>
      <c r="I106" s="549">
        <f t="shared" si="52"/>
        <v>0</v>
      </c>
      <c r="J106" s="549">
        <f t="shared" si="52"/>
        <v>0</v>
      </c>
      <c r="K106" s="549">
        <f t="shared" si="52"/>
        <v>0</v>
      </c>
      <c r="L106" s="37"/>
      <c r="M106" s="7"/>
      <c r="R106" s="351"/>
    </row>
    <row r="107" spans="1:18" x14ac:dyDescent="0.25">
      <c r="A107" s="341"/>
      <c r="B107" t="s">
        <v>376</v>
      </c>
      <c r="C107" s="101" t="s">
        <v>306</v>
      </c>
      <c r="D107" s="101" t="s">
        <v>351</v>
      </c>
      <c r="F107" s="664">
        <f>'2223 MFG Protection'!F110</f>
        <v>411.46437416886545</v>
      </c>
      <c r="G107" s="664">
        <f>'2223 MFG Protection'!G110</f>
        <v>369.71868618645601</v>
      </c>
      <c r="H107" s="664">
        <f>'2223 MFG Protection'!H110</f>
        <v>0</v>
      </c>
      <c r="I107" s="664">
        <f>'2223 MFG Protection'!I110</f>
        <v>0</v>
      </c>
      <c r="J107" s="664">
        <f>'2223 MFG Protection'!J110</f>
        <v>0</v>
      </c>
      <c r="K107" s="664">
        <f>'2223 MFG Protection'!K110</f>
        <v>0</v>
      </c>
      <c r="L107" s="37"/>
      <c r="M107" s="7"/>
      <c r="R107" s="351"/>
    </row>
    <row r="108" spans="1:18" x14ac:dyDescent="0.25">
      <c r="A108" s="341">
        <v>9257009</v>
      </c>
      <c r="B108" t="str">
        <f t="shared" si="50"/>
        <v>9257009b</v>
      </c>
      <c r="C108" s="101" t="s">
        <v>353</v>
      </c>
      <c r="D108" s="101" t="s">
        <v>354</v>
      </c>
      <c r="F108" s="671">
        <v>0</v>
      </c>
      <c r="G108" s="671">
        <v>0</v>
      </c>
      <c r="H108" s="671">
        <v>0</v>
      </c>
      <c r="I108" s="671">
        <v>0</v>
      </c>
      <c r="J108" s="671">
        <v>0</v>
      </c>
      <c r="K108" s="671">
        <v>0</v>
      </c>
      <c r="L108" s="37"/>
      <c r="M108" s="7"/>
      <c r="R108" s="351"/>
    </row>
    <row r="109" spans="1:18" x14ac:dyDescent="0.25">
      <c r="A109" s="341"/>
      <c r="B109" t="s">
        <v>377</v>
      </c>
      <c r="C109" s="101" t="s">
        <v>312</v>
      </c>
      <c r="D109" s="101" t="s">
        <v>351</v>
      </c>
      <c r="F109" s="550">
        <f>IF(F107-F108&gt;0,(F107-F108),(0))</f>
        <v>411.46437416886545</v>
      </c>
      <c r="G109" s="550">
        <f t="shared" ref="G109:K109" si="53">IF(G107-G108&gt;0,(G107-G108),(0))</f>
        <v>369.71868618645601</v>
      </c>
      <c r="H109" s="550">
        <f t="shared" si="53"/>
        <v>0</v>
      </c>
      <c r="I109" s="550">
        <f t="shared" si="53"/>
        <v>0</v>
      </c>
      <c r="J109" s="550">
        <f t="shared" si="53"/>
        <v>0</v>
      </c>
      <c r="K109" s="550">
        <f t="shared" si="53"/>
        <v>0</v>
      </c>
      <c r="L109" s="37"/>
      <c r="M109" s="7"/>
      <c r="R109" s="351"/>
    </row>
    <row r="110" spans="1:18" x14ac:dyDescent="0.25">
      <c r="A110" s="341">
        <v>9257009</v>
      </c>
      <c r="B110" t="str">
        <f>CONCATENATE(A110,C110)</f>
        <v>9257009c</v>
      </c>
      <c r="C110" s="101" t="s">
        <v>357</v>
      </c>
      <c r="D110" s="101" t="s">
        <v>217</v>
      </c>
      <c r="F110" s="7">
        <f t="shared" ref="F110:K110" si="54">IF(F109&lt;0,0,(F109*F106))</f>
        <v>9514.1833391475266</v>
      </c>
      <c r="G110" s="7">
        <f t="shared" si="54"/>
        <v>25172.140400306722</v>
      </c>
      <c r="H110" s="7">
        <f t="shared" si="54"/>
        <v>0</v>
      </c>
      <c r="I110" s="7">
        <f t="shared" si="54"/>
        <v>0</v>
      </c>
      <c r="J110" s="7">
        <f t="shared" si="54"/>
        <v>0</v>
      </c>
      <c r="K110" s="7">
        <f t="shared" si="54"/>
        <v>0</v>
      </c>
      <c r="L110" s="141">
        <f>SUM(F110:K110)</f>
        <v>34686.323739454252</v>
      </c>
      <c r="M110" s="140">
        <f>L110-O103</f>
        <v>0</v>
      </c>
      <c r="R110" s="351"/>
    </row>
    <row r="111" spans="1:18" x14ac:dyDescent="0.25">
      <c r="A111" s="33"/>
      <c r="C111" s="101"/>
      <c r="D111" s="101" t="s">
        <v>401</v>
      </c>
      <c r="F111" s="670">
        <v>23.122739018087856</v>
      </c>
      <c r="G111" s="670">
        <v>68.084577114427873</v>
      </c>
      <c r="H111" s="670">
        <v>0</v>
      </c>
      <c r="I111" s="670">
        <v>0</v>
      </c>
      <c r="J111" s="670">
        <v>0</v>
      </c>
      <c r="K111" s="670">
        <v>0</v>
      </c>
      <c r="L111" s="141"/>
      <c r="M111" s="140"/>
      <c r="R111" s="351"/>
    </row>
    <row r="112" spans="1:18" x14ac:dyDescent="0.25">
      <c r="A112" s="171"/>
      <c r="B112" s="171" t="s">
        <v>278</v>
      </c>
      <c r="C112" s="171"/>
      <c r="D112" s="171"/>
      <c r="E112" s="172"/>
      <c r="F112" s="173"/>
      <c r="G112" s="173"/>
      <c r="H112" s="173"/>
      <c r="I112" s="173"/>
      <c r="J112" s="173"/>
      <c r="K112" s="173"/>
      <c r="L112" s="173"/>
      <c r="M112" s="173"/>
      <c r="N112" s="172"/>
      <c r="O112" s="172"/>
      <c r="P112" s="172"/>
      <c r="Q112" s="172"/>
    </row>
    <row r="113" spans="1:18" x14ac:dyDescent="0.25">
      <c r="A113" s="74">
        <v>9257029</v>
      </c>
      <c r="B113" t="str">
        <f>CONCATENATE(A113,C113)</f>
        <v>92570292022/23</v>
      </c>
      <c r="C113" s="672" t="s">
        <v>306</v>
      </c>
      <c r="D113" s="101" t="s">
        <v>346</v>
      </c>
      <c r="E113" s="37">
        <f>SUM(F113:K113)</f>
        <v>0</v>
      </c>
      <c r="F113" s="670">
        <f>'2223 MFG Protection'!F122</f>
        <v>0</v>
      </c>
      <c r="G113" s="670">
        <f>'2223 MFG Protection'!G122</f>
        <v>0</v>
      </c>
      <c r="H113" s="670">
        <f>'2223 MFG Protection'!H122</f>
        <v>0</v>
      </c>
      <c r="I113" s="670">
        <f>'2223 MFG Protection'!I122</f>
        <v>0</v>
      </c>
      <c r="J113" s="670">
        <f>'2223 MFG Protection'!J122</f>
        <v>0</v>
      </c>
      <c r="K113" s="670">
        <f>'2223 MFG Protection'!K122</f>
        <v>0</v>
      </c>
      <c r="L113" s="37"/>
      <c r="N113" s="7"/>
      <c r="O113" s="140">
        <f>'2223 MFG Protection'!L121</f>
        <v>0</v>
      </c>
      <c r="R113" s="351"/>
    </row>
    <row r="114" spans="1:18" x14ac:dyDescent="0.25">
      <c r="A114" s="74">
        <v>9257029</v>
      </c>
      <c r="B114" t="str">
        <f>CONCATENATE(A114,C114)</f>
        <v>92570292023/24</v>
      </c>
      <c r="C114" s="101" t="s">
        <v>312</v>
      </c>
      <c r="D114" t="str">
        <f>CONCATENATE(A114,C114)</f>
        <v>92570292023/24</v>
      </c>
      <c r="E114" s="37">
        <f>VLOOKUP(A114,'2324 Funding Detail'!$A$4:$M$20,13,(FALSE))</f>
        <v>79</v>
      </c>
      <c r="F114" s="549">
        <f>$E$114*'2324 Band Calculations'!D16</f>
        <v>0</v>
      </c>
      <c r="G114" s="549">
        <f>$E$114*'2324 Band Calculations'!E16</f>
        <v>0</v>
      </c>
      <c r="H114" s="549">
        <f>$E$114*'2324 Band Calculations'!F16</f>
        <v>79</v>
      </c>
      <c r="I114" s="549">
        <f>$E$114*'2324 Band Calculations'!G16</f>
        <v>0</v>
      </c>
      <c r="J114" s="549">
        <f>$E$114*'2324 Band Calculations'!H16</f>
        <v>0</v>
      </c>
      <c r="K114" s="549">
        <f>$E$114*'2324 Band Calculations'!I16</f>
        <v>0</v>
      </c>
      <c r="L114" s="169">
        <f>$E$114*'2324 Band Calculations'!J16</f>
        <v>0</v>
      </c>
      <c r="N114" s="7"/>
      <c r="R114" s="351"/>
    </row>
    <row r="115" spans="1:18" x14ac:dyDescent="0.25">
      <c r="A115" s="74">
        <v>9257029</v>
      </c>
      <c r="B115" t="str">
        <f t="shared" ref="B115:B118" si="55">CONCATENATE(A115,C115)</f>
        <v>9257029</v>
      </c>
      <c r="F115" s="170">
        <f t="shared" ref="F115:K115" si="56">F114-F113</f>
        <v>0</v>
      </c>
      <c r="G115" s="170">
        <f t="shared" si="56"/>
        <v>0</v>
      </c>
      <c r="H115" s="170">
        <f t="shared" si="56"/>
        <v>79</v>
      </c>
      <c r="I115" s="170">
        <f t="shared" si="56"/>
        <v>0</v>
      </c>
      <c r="J115" s="170">
        <f t="shared" si="56"/>
        <v>0</v>
      </c>
      <c r="K115" s="170">
        <f t="shared" si="56"/>
        <v>0</v>
      </c>
      <c r="R115" s="351"/>
    </row>
    <row r="116" spans="1:18" x14ac:dyDescent="0.25">
      <c r="A116" s="74">
        <v>9257029</v>
      </c>
      <c r="B116" t="str">
        <f t="shared" si="55"/>
        <v>9257029a</v>
      </c>
      <c r="C116" s="101" t="s">
        <v>349</v>
      </c>
      <c r="D116" s="101" t="s">
        <v>346</v>
      </c>
      <c r="F116" s="549">
        <f t="shared" ref="F116:K116" si="57">IF(F113&gt;F114,(F114),(F113))</f>
        <v>0</v>
      </c>
      <c r="G116" s="549">
        <f t="shared" si="57"/>
        <v>0</v>
      </c>
      <c r="H116" s="549">
        <f t="shared" si="57"/>
        <v>0</v>
      </c>
      <c r="I116" s="549">
        <f t="shared" si="57"/>
        <v>0</v>
      </c>
      <c r="J116" s="549">
        <f t="shared" si="57"/>
        <v>0</v>
      </c>
      <c r="K116" s="549">
        <f t="shared" si="57"/>
        <v>0</v>
      </c>
      <c r="L116" s="37"/>
      <c r="M116" s="7"/>
      <c r="O116" s="7"/>
      <c r="P116" s="7"/>
      <c r="R116" s="351"/>
    </row>
    <row r="117" spans="1:18" x14ac:dyDescent="0.25">
      <c r="A117" s="74"/>
      <c r="B117" t="s">
        <v>378</v>
      </c>
      <c r="C117" s="101" t="s">
        <v>306</v>
      </c>
      <c r="D117" s="101" t="s">
        <v>351</v>
      </c>
      <c r="F117" s="664">
        <f>'2223 MFG Protection'!F120</f>
        <v>0</v>
      </c>
      <c r="G117" s="664">
        <f>'2223 MFG Protection'!G120</f>
        <v>0</v>
      </c>
      <c r="H117" s="664">
        <f>'2223 MFG Protection'!H120</f>
        <v>0</v>
      </c>
      <c r="I117" s="664">
        <f>'2223 MFG Protection'!I120</f>
        <v>0</v>
      </c>
      <c r="J117" s="664">
        <f>'2223 MFG Protection'!J120</f>
        <v>0</v>
      </c>
      <c r="K117" s="664">
        <f>'2223 MFG Protection'!K120</f>
        <v>0</v>
      </c>
      <c r="L117" s="37"/>
      <c r="M117" s="7"/>
      <c r="O117" s="7"/>
      <c r="P117" s="7"/>
      <c r="R117" s="351"/>
    </row>
    <row r="118" spans="1:18" x14ac:dyDescent="0.25">
      <c r="A118" s="74">
        <v>9257029</v>
      </c>
      <c r="B118" t="str">
        <f t="shared" si="55"/>
        <v>9257029b</v>
      </c>
      <c r="C118" s="101" t="s">
        <v>353</v>
      </c>
      <c r="D118" s="101" t="s">
        <v>354</v>
      </c>
      <c r="F118" s="671">
        <v>0</v>
      </c>
      <c r="G118" s="671">
        <v>0</v>
      </c>
      <c r="H118" s="671">
        <v>0</v>
      </c>
      <c r="I118" s="671">
        <v>0</v>
      </c>
      <c r="J118" s="671">
        <v>0</v>
      </c>
      <c r="K118" s="671">
        <v>0</v>
      </c>
      <c r="L118" s="37"/>
      <c r="M118" s="7"/>
      <c r="R118" s="351"/>
    </row>
    <row r="119" spans="1:18" x14ac:dyDescent="0.25">
      <c r="A119" s="74"/>
      <c r="B119" t="s">
        <v>379</v>
      </c>
      <c r="C119" s="101" t="s">
        <v>312</v>
      </c>
      <c r="D119" s="101" t="s">
        <v>351</v>
      </c>
      <c r="F119" s="550">
        <f>IF(F117-F118&gt;0,(F117-F118),(0))</f>
        <v>0</v>
      </c>
      <c r="G119" s="550">
        <f t="shared" ref="G119:K119" si="58">IF(G117-G118&gt;0,(G117-G118),(0))</f>
        <v>0</v>
      </c>
      <c r="H119" s="550">
        <f t="shared" si="58"/>
        <v>0</v>
      </c>
      <c r="I119" s="550">
        <f t="shared" si="58"/>
        <v>0</v>
      </c>
      <c r="J119" s="550">
        <f t="shared" si="58"/>
        <v>0</v>
      </c>
      <c r="K119" s="550">
        <f t="shared" si="58"/>
        <v>0</v>
      </c>
      <c r="L119" s="37"/>
      <c r="M119" s="7"/>
      <c r="R119" s="351"/>
    </row>
    <row r="120" spans="1:18" x14ac:dyDescent="0.25">
      <c r="A120" s="74">
        <v>9257029</v>
      </c>
      <c r="B120" t="str">
        <f>CONCATENATE(A120,C120)</f>
        <v>9257029c</v>
      </c>
      <c r="C120" s="101" t="s">
        <v>357</v>
      </c>
      <c r="D120" s="101" t="s">
        <v>217</v>
      </c>
      <c r="F120" s="7">
        <f t="shared" ref="F120:K120" si="59">IF(F119&lt;0,0,(F119*F116))</f>
        <v>0</v>
      </c>
      <c r="G120" s="7">
        <f t="shared" si="59"/>
        <v>0</v>
      </c>
      <c r="H120" s="7">
        <f t="shared" si="59"/>
        <v>0</v>
      </c>
      <c r="I120" s="7">
        <f t="shared" si="59"/>
        <v>0</v>
      </c>
      <c r="J120" s="7">
        <f t="shared" si="59"/>
        <v>0</v>
      </c>
      <c r="K120" s="7">
        <f t="shared" si="59"/>
        <v>0</v>
      </c>
      <c r="L120" s="141">
        <f>SUM(F120:K120)</f>
        <v>0</v>
      </c>
      <c r="M120" s="140">
        <f>L120-O113</f>
        <v>0</v>
      </c>
      <c r="R120" s="351"/>
    </row>
    <row r="121" spans="1:18" x14ac:dyDescent="0.25">
      <c r="A121" s="78"/>
      <c r="C121" s="101"/>
      <c r="D121" s="101" t="s">
        <v>401</v>
      </c>
      <c r="F121" s="670">
        <v>0</v>
      </c>
      <c r="G121" s="670">
        <v>0</v>
      </c>
      <c r="H121" s="670">
        <v>0</v>
      </c>
      <c r="I121" s="670">
        <v>0</v>
      </c>
      <c r="J121" s="670">
        <v>0</v>
      </c>
      <c r="K121" s="670">
        <v>0</v>
      </c>
      <c r="L121" s="141"/>
      <c r="M121" s="140"/>
      <c r="R121" s="351"/>
    </row>
    <row r="122" spans="1:18" x14ac:dyDescent="0.25">
      <c r="A122" s="171"/>
      <c r="B122" s="171" t="s">
        <v>380</v>
      </c>
      <c r="C122" s="171"/>
      <c r="D122" s="171"/>
      <c r="E122" s="172"/>
      <c r="F122" s="173"/>
      <c r="G122" s="173"/>
      <c r="H122" s="173"/>
      <c r="I122" s="173"/>
      <c r="J122" s="173"/>
      <c r="K122" s="173"/>
      <c r="L122" s="173"/>
      <c r="M122" s="173"/>
      <c r="N122" s="172"/>
      <c r="O122" s="172"/>
      <c r="P122" s="172"/>
      <c r="Q122" s="172"/>
    </row>
    <row r="123" spans="1:18" x14ac:dyDescent="0.25">
      <c r="A123" s="74">
        <v>9257032</v>
      </c>
      <c r="B123" t="str">
        <f>CONCATENATE(A123,C123)</f>
        <v>92570322022/23</v>
      </c>
      <c r="C123" s="672" t="s">
        <v>306</v>
      </c>
      <c r="D123" s="101" t="s">
        <v>346</v>
      </c>
      <c r="E123" s="37">
        <f>SUM(F123:K123)</f>
        <v>0</v>
      </c>
      <c r="F123" s="670">
        <f>'2223 MFG Protection'!F132</f>
        <v>0</v>
      </c>
      <c r="G123" s="670">
        <f>'2223 MFG Protection'!G132</f>
        <v>0</v>
      </c>
      <c r="H123" s="670">
        <f>'2223 MFG Protection'!H132</f>
        <v>0</v>
      </c>
      <c r="I123" s="670">
        <f>'2223 MFG Protection'!I132</f>
        <v>0</v>
      </c>
      <c r="J123" s="670">
        <f>'2223 MFG Protection'!J132</f>
        <v>0</v>
      </c>
      <c r="K123" s="670">
        <f>'2223 MFG Protection'!K132</f>
        <v>0</v>
      </c>
      <c r="L123" s="37"/>
      <c r="N123" s="7"/>
      <c r="O123" s="140">
        <f>'2223 MFG Protection'!L131</f>
        <v>0</v>
      </c>
      <c r="R123" s="351"/>
    </row>
    <row r="124" spans="1:18" x14ac:dyDescent="0.25">
      <c r="A124" s="74">
        <v>9257032</v>
      </c>
      <c r="B124" t="str">
        <f>CONCATENATE(A124,C124)</f>
        <v>92570322023/24</v>
      </c>
      <c r="C124" s="101" t="s">
        <v>312</v>
      </c>
      <c r="D124" t="str">
        <f>CONCATENATE(A124,C124)</f>
        <v>92570322023/24</v>
      </c>
      <c r="E124" s="37">
        <f>VLOOKUP(A124,'2324 Funding Detail'!$A$4:$M$20,13,(FALSE))</f>
        <v>110.41666666666669</v>
      </c>
      <c r="F124" s="549">
        <f>$E$124*'2324 Band Calculations'!D17</f>
        <v>0</v>
      </c>
      <c r="G124" s="549">
        <f>$E$124*'2324 Band Calculations'!E17</f>
        <v>0</v>
      </c>
      <c r="H124" s="549">
        <f>$E$124*'2324 Band Calculations'!F17</f>
        <v>110.41666666666669</v>
      </c>
      <c r="I124" s="549">
        <f>$E$124*'2324 Band Calculations'!G17</f>
        <v>0</v>
      </c>
      <c r="J124" s="549">
        <f>$E$124*'2324 Band Calculations'!H17</f>
        <v>0</v>
      </c>
      <c r="K124" s="549">
        <f>$E$124*'2324 Band Calculations'!I17</f>
        <v>0</v>
      </c>
      <c r="L124" s="169">
        <f>$E$124*'2324 Band Calculations'!J17</f>
        <v>0</v>
      </c>
      <c r="N124" s="7"/>
      <c r="R124" s="351"/>
    </row>
    <row r="125" spans="1:18" x14ac:dyDescent="0.25">
      <c r="A125" s="74">
        <v>9257032</v>
      </c>
      <c r="B125" t="str">
        <f t="shared" ref="B125:B128" si="60">CONCATENATE(A125,C125)</f>
        <v>9257032</v>
      </c>
      <c r="F125" s="170">
        <f t="shared" ref="F125:K125" si="61">F124-F123</f>
        <v>0</v>
      </c>
      <c r="G125" s="170">
        <f t="shared" si="61"/>
        <v>0</v>
      </c>
      <c r="H125" s="170">
        <f t="shared" si="61"/>
        <v>110.41666666666669</v>
      </c>
      <c r="I125" s="170">
        <f t="shared" si="61"/>
        <v>0</v>
      </c>
      <c r="J125" s="170">
        <f t="shared" si="61"/>
        <v>0</v>
      </c>
      <c r="K125" s="170">
        <f t="shared" si="61"/>
        <v>0</v>
      </c>
      <c r="R125" s="351"/>
    </row>
    <row r="126" spans="1:18" x14ac:dyDescent="0.25">
      <c r="A126" s="74">
        <v>9257032</v>
      </c>
      <c r="B126" t="str">
        <f t="shared" si="60"/>
        <v>9257032a</v>
      </c>
      <c r="C126" s="101" t="s">
        <v>349</v>
      </c>
      <c r="D126" s="101" t="s">
        <v>346</v>
      </c>
      <c r="F126" s="549">
        <f t="shared" ref="F126:K126" si="62">IF(F123&gt;F124,(F124),(F123))</f>
        <v>0</v>
      </c>
      <c r="G126" s="549">
        <f t="shared" si="62"/>
        <v>0</v>
      </c>
      <c r="H126" s="549">
        <f t="shared" si="62"/>
        <v>0</v>
      </c>
      <c r="I126" s="549">
        <f t="shared" si="62"/>
        <v>0</v>
      </c>
      <c r="J126" s="549">
        <f t="shared" si="62"/>
        <v>0</v>
      </c>
      <c r="K126" s="549">
        <f t="shared" si="62"/>
        <v>0</v>
      </c>
      <c r="L126" s="37"/>
      <c r="M126" s="7"/>
      <c r="O126" s="7"/>
      <c r="P126" s="7"/>
      <c r="R126" s="351"/>
    </row>
    <row r="127" spans="1:18" x14ac:dyDescent="0.25">
      <c r="A127" s="74"/>
      <c r="B127" t="s">
        <v>381</v>
      </c>
      <c r="C127" s="101" t="s">
        <v>306</v>
      </c>
      <c r="D127" s="101" t="s">
        <v>351</v>
      </c>
      <c r="F127" s="664">
        <f>'2223 MFG Protection'!F130</f>
        <v>0</v>
      </c>
      <c r="G127" s="664">
        <f>'2223 MFG Protection'!G130</f>
        <v>0</v>
      </c>
      <c r="H127" s="664">
        <f>'2223 MFG Protection'!H130</f>
        <v>0</v>
      </c>
      <c r="I127" s="664">
        <f>'2223 MFG Protection'!I130</f>
        <v>0</v>
      </c>
      <c r="J127" s="664">
        <f>'2223 MFG Protection'!J130</f>
        <v>0</v>
      </c>
      <c r="K127" s="664">
        <f>'2223 MFG Protection'!K130</f>
        <v>0</v>
      </c>
      <c r="L127" s="37"/>
      <c r="M127" s="7"/>
      <c r="O127" s="7"/>
      <c r="P127" s="7"/>
      <c r="R127" s="351"/>
    </row>
    <row r="128" spans="1:18" x14ac:dyDescent="0.25">
      <c r="A128" s="74">
        <v>9257032</v>
      </c>
      <c r="B128" t="str">
        <f t="shared" si="60"/>
        <v>9257032b</v>
      </c>
      <c r="C128" s="101" t="s">
        <v>353</v>
      </c>
      <c r="D128" s="101" t="s">
        <v>354</v>
      </c>
      <c r="F128" s="671">
        <v>0</v>
      </c>
      <c r="G128" s="671">
        <v>0</v>
      </c>
      <c r="H128" s="671">
        <v>0</v>
      </c>
      <c r="I128" s="671">
        <v>0</v>
      </c>
      <c r="J128" s="671">
        <v>0</v>
      </c>
      <c r="K128" s="671">
        <v>0</v>
      </c>
      <c r="L128" s="37"/>
      <c r="M128" s="7"/>
      <c r="R128" s="351"/>
    </row>
    <row r="129" spans="1:18" x14ac:dyDescent="0.25">
      <c r="A129" s="74"/>
      <c r="B129" t="s">
        <v>382</v>
      </c>
      <c r="C129" s="101" t="s">
        <v>312</v>
      </c>
      <c r="D129" s="101" t="s">
        <v>351</v>
      </c>
      <c r="F129" s="550">
        <f>IF(F127-F128&gt;0,(F127-F128),(0))</f>
        <v>0</v>
      </c>
      <c r="G129" s="550">
        <f t="shared" ref="G129:K129" si="63">IF(G127-G128&gt;0,(G127-G128),(0))</f>
        <v>0</v>
      </c>
      <c r="H129" s="550">
        <f t="shared" si="63"/>
        <v>0</v>
      </c>
      <c r="I129" s="550">
        <f t="shared" si="63"/>
        <v>0</v>
      </c>
      <c r="J129" s="550">
        <f t="shared" si="63"/>
        <v>0</v>
      </c>
      <c r="K129" s="550">
        <f t="shared" si="63"/>
        <v>0</v>
      </c>
      <c r="L129" s="37"/>
      <c r="M129" s="7"/>
      <c r="R129" s="351"/>
    </row>
    <row r="130" spans="1:18" x14ac:dyDescent="0.25">
      <c r="A130" s="74">
        <v>9257032</v>
      </c>
      <c r="B130" t="str">
        <f>CONCATENATE(A130,C130)</f>
        <v>9257032c</v>
      </c>
      <c r="C130" s="101" t="s">
        <v>357</v>
      </c>
      <c r="D130" s="101" t="s">
        <v>217</v>
      </c>
      <c r="F130" s="7">
        <f t="shared" ref="F130:K130" si="64">IF(F129&lt;0,0,(F129*F126))</f>
        <v>0</v>
      </c>
      <c r="G130" s="7">
        <f t="shared" si="64"/>
        <v>0</v>
      </c>
      <c r="H130" s="7">
        <f t="shared" si="64"/>
        <v>0</v>
      </c>
      <c r="I130" s="7">
        <f t="shared" si="64"/>
        <v>0</v>
      </c>
      <c r="J130" s="7">
        <f t="shared" si="64"/>
        <v>0</v>
      </c>
      <c r="K130" s="7">
        <f t="shared" si="64"/>
        <v>0</v>
      </c>
      <c r="L130" s="141">
        <f>SUM(F130:K130)</f>
        <v>0</v>
      </c>
      <c r="M130" s="140">
        <f>L130-O123</f>
        <v>0</v>
      </c>
      <c r="R130" s="351"/>
    </row>
    <row r="131" spans="1:18" x14ac:dyDescent="0.25">
      <c r="A131" s="78"/>
      <c r="C131" s="101"/>
      <c r="D131" s="101" t="s">
        <v>401</v>
      </c>
      <c r="F131" s="670">
        <v>0</v>
      </c>
      <c r="G131" s="670">
        <v>0</v>
      </c>
      <c r="H131" s="670">
        <v>0</v>
      </c>
      <c r="I131" s="670">
        <v>0</v>
      </c>
      <c r="J131" s="670">
        <v>0</v>
      </c>
      <c r="K131" s="670">
        <v>0</v>
      </c>
      <c r="L131" s="141"/>
      <c r="M131" s="140"/>
      <c r="R131" s="351"/>
    </row>
    <row r="132" spans="1:18" x14ac:dyDescent="0.25">
      <c r="A132" s="171"/>
      <c r="B132" s="171" t="s">
        <v>383</v>
      </c>
      <c r="C132" s="171"/>
      <c r="D132" s="171"/>
      <c r="E132" s="172"/>
      <c r="F132" s="173"/>
      <c r="G132" s="173"/>
      <c r="H132" s="173"/>
      <c r="I132" s="173"/>
      <c r="J132" s="173"/>
      <c r="K132" s="173"/>
      <c r="L132" s="173"/>
      <c r="M132" s="173"/>
      <c r="N132" s="172"/>
      <c r="O132" s="172"/>
      <c r="P132" s="172"/>
      <c r="Q132" s="172"/>
    </row>
    <row r="133" spans="1:18" x14ac:dyDescent="0.25">
      <c r="A133" s="74">
        <v>9257030</v>
      </c>
      <c r="B133" t="str">
        <f>CONCATENATE(A133,C133)</f>
        <v>92570302022/23</v>
      </c>
      <c r="C133" s="672" t="s">
        <v>306</v>
      </c>
      <c r="D133" s="101" t="s">
        <v>346</v>
      </c>
      <c r="E133" s="37">
        <f>SUM(F133:K133)</f>
        <v>70.833333333333343</v>
      </c>
      <c r="F133" s="670">
        <f>'2223 MFG Protection'!F142</f>
        <v>0</v>
      </c>
      <c r="G133" s="670">
        <f>'2223 MFG Protection'!G142</f>
        <v>0</v>
      </c>
      <c r="H133" s="676">
        <f>'2223 MFG Protection'!H142</f>
        <v>70.833333333333343</v>
      </c>
      <c r="I133" s="670">
        <f>'2223 MFG Protection'!I142</f>
        <v>0</v>
      </c>
      <c r="J133" s="670">
        <f>'2223 MFG Protection'!J142</f>
        <v>0</v>
      </c>
      <c r="K133" s="670">
        <f>'2223 MFG Protection'!K142</f>
        <v>0</v>
      </c>
      <c r="L133" s="37"/>
      <c r="N133" s="7"/>
      <c r="O133" s="140">
        <f>'2223 MFG Protection'!L141</f>
        <v>2905.6363932316312</v>
      </c>
      <c r="R133" s="351"/>
    </row>
    <row r="134" spans="1:18" x14ac:dyDescent="0.25">
      <c r="A134" s="74">
        <v>9257030</v>
      </c>
      <c r="B134" t="str">
        <f>CONCATENATE(A134,C134)</f>
        <v>92570302023/24</v>
      </c>
      <c r="C134" s="101" t="s">
        <v>312</v>
      </c>
      <c r="D134" t="str">
        <f>CONCATENATE(A134,C134)</f>
        <v>92570302023/24</v>
      </c>
      <c r="E134" s="37">
        <f>VLOOKUP(A134,'2324 Funding Detail'!$A$4:$M$20,13,(FALSE))</f>
        <v>70</v>
      </c>
      <c r="F134" s="549">
        <f>$E$134*'2324 Band Calculations'!D18</f>
        <v>0</v>
      </c>
      <c r="G134" s="549">
        <f>$E$134*'2324 Band Calculations'!E18</f>
        <v>0</v>
      </c>
      <c r="H134" s="675">
        <f>$E$134*'2324 Band Calculations'!F18</f>
        <v>70</v>
      </c>
      <c r="I134" s="549">
        <f>$E$134*'2324 Band Calculations'!G18</f>
        <v>0</v>
      </c>
      <c r="J134" s="549">
        <f>$E$134*'2324 Band Calculations'!H18</f>
        <v>0</v>
      </c>
      <c r="K134" s="549">
        <f>$E$134*'2324 Band Calculations'!I18</f>
        <v>0</v>
      </c>
      <c r="L134" s="169">
        <f>$E$134*'2324 Band Calculations'!J18</f>
        <v>0</v>
      </c>
      <c r="N134" s="7"/>
      <c r="R134" s="351"/>
    </row>
    <row r="135" spans="1:18" x14ac:dyDescent="0.25">
      <c r="A135" s="74">
        <v>9257030</v>
      </c>
      <c r="B135" t="str">
        <f t="shared" ref="B135:B138" si="65">CONCATENATE(A135,C135)</f>
        <v>9257030</v>
      </c>
      <c r="F135" s="170">
        <f t="shared" ref="F135:K135" si="66">F134-F133</f>
        <v>0</v>
      </c>
      <c r="G135" s="170">
        <f t="shared" si="66"/>
        <v>0</v>
      </c>
      <c r="H135" s="170">
        <f t="shared" si="66"/>
        <v>-0.83333333333334281</v>
      </c>
      <c r="I135" s="170">
        <f t="shared" si="66"/>
        <v>0</v>
      </c>
      <c r="J135" s="170">
        <f t="shared" si="66"/>
        <v>0</v>
      </c>
      <c r="K135" s="170">
        <f t="shared" si="66"/>
        <v>0</v>
      </c>
      <c r="R135" s="351"/>
    </row>
    <row r="136" spans="1:18" x14ac:dyDescent="0.25">
      <c r="A136" s="74">
        <v>9257030</v>
      </c>
      <c r="B136" t="str">
        <f t="shared" si="65"/>
        <v>9257030a</v>
      </c>
      <c r="C136" s="101" t="s">
        <v>349</v>
      </c>
      <c r="D136" s="101" t="s">
        <v>346</v>
      </c>
      <c r="F136" s="549">
        <f t="shared" ref="F136:K136" si="67">IF(F133&gt;F134,(F134),(F133))</f>
        <v>0</v>
      </c>
      <c r="G136" s="549">
        <f t="shared" si="67"/>
        <v>0</v>
      </c>
      <c r="H136" s="549">
        <f t="shared" si="67"/>
        <v>70</v>
      </c>
      <c r="I136" s="549">
        <f t="shared" si="67"/>
        <v>0</v>
      </c>
      <c r="J136" s="549">
        <f t="shared" si="67"/>
        <v>0</v>
      </c>
      <c r="K136" s="549">
        <f t="shared" si="67"/>
        <v>0</v>
      </c>
      <c r="L136" s="37"/>
      <c r="M136" s="7"/>
      <c r="O136" s="7"/>
      <c r="P136" s="7"/>
      <c r="R136" s="351"/>
    </row>
    <row r="137" spans="1:18" x14ac:dyDescent="0.25">
      <c r="A137" s="74"/>
      <c r="B137" t="s">
        <v>384</v>
      </c>
      <c r="C137" s="101" t="s">
        <v>306</v>
      </c>
      <c r="D137" s="101" t="s">
        <v>351</v>
      </c>
      <c r="F137" s="664">
        <f>'2223 MFG Protection'!F140</f>
        <v>0</v>
      </c>
      <c r="G137" s="664">
        <f>'2223 MFG Protection'!G140</f>
        <v>0</v>
      </c>
      <c r="H137" s="664">
        <f>'2223 MFG Protection'!H140</f>
        <v>41.020749080917142</v>
      </c>
      <c r="I137" s="664">
        <f>'2223 MFG Protection'!I140</f>
        <v>0</v>
      </c>
      <c r="J137" s="664">
        <f>'2223 MFG Protection'!J140</f>
        <v>0</v>
      </c>
      <c r="K137" s="664">
        <f>'2223 MFG Protection'!K140</f>
        <v>0</v>
      </c>
      <c r="L137" s="37"/>
      <c r="M137" s="7"/>
      <c r="O137" s="7"/>
      <c r="P137" s="7"/>
      <c r="R137" s="351"/>
    </row>
    <row r="138" spans="1:18" x14ac:dyDescent="0.25">
      <c r="A138" s="74">
        <v>9257030</v>
      </c>
      <c r="B138" t="str">
        <f t="shared" si="65"/>
        <v>9257030b</v>
      </c>
      <c r="C138" s="101" t="s">
        <v>353</v>
      </c>
      <c r="D138" s="101" t="s">
        <v>354</v>
      </c>
      <c r="F138" s="671">
        <v>0</v>
      </c>
      <c r="G138" s="671">
        <v>0</v>
      </c>
      <c r="H138" s="671">
        <v>0</v>
      </c>
      <c r="I138" s="671">
        <v>0</v>
      </c>
      <c r="J138" s="671">
        <v>0</v>
      </c>
      <c r="K138" s="671">
        <v>0</v>
      </c>
      <c r="L138" s="37"/>
      <c r="M138" s="7"/>
      <c r="R138" s="351"/>
    </row>
    <row r="139" spans="1:18" x14ac:dyDescent="0.25">
      <c r="A139" s="74"/>
      <c r="B139" t="s">
        <v>385</v>
      </c>
      <c r="C139" s="101" t="s">
        <v>312</v>
      </c>
      <c r="D139" s="101" t="s">
        <v>351</v>
      </c>
      <c r="F139" s="550">
        <f>IF(F137-F138&gt;0,(F137-F138),(0))</f>
        <v>0</v>
      </c>
      <c r="G139" s="550">
        <f t="shared" ref="G139:K139" si="68">IF(G137-G138&gt;0,(G137-G138),(0))</f>
        <v>0</v>
      </c>
      <c r="H139" s="550">
        <f t="shared" si="68"/>
        <v>41.020749080917142</v>
      </c>
      <c r="I139" s="550">
        <f t="shared" si="68"/>
        <v>0</v>
      </c>
      <c r="J139" s="550">
        <f t="shared" si="68"/>
        <v>0</v>
      </c>
      <c r="K139" s="550">
        <f t="shared" si="68"/>
        <v>0</v>
      </c>
      <c r="L139" s="37"/>
      <c r="M139" s="7"/>
      <c r="R139" s="351"/>
    </row>
    <row r="140" spans="1:18" x14ac:dyDescent="0.25">
      <c r="A140" s="74">
        <v>9257030</v>
      </c>
      <c r="B140" t="str">
        <f>CONCATENATE(A140,C140)</f>
        <v>9257030c</v>
      </c>
      <c r="C140" s="101" t="s">
        <v>357</v>
      </c>
      <c r="D140" s="101" t="s">
        <v>217</v>
      </c>
      <c r="F140" s="7">
        <f t="shared" ref="F140:G140" si="69">IF(F139&lt;0,0,(F139*F136))</f>
        <v>0</v>
      </c>
      <c r="G140" s="7">
        <f t="shared" si="69"/>
        <v>0</v>
      </c>
      <c r="H140" s="7">
        <f>IF(H139&lt;0,0,(H139*H136))</f>
        <v>2871.4524356642</v>
      </c>
      <c r="I140" s="7">
        <f t="shared" ref="I140:K140" si="70">IF(I139&lt;0,0,(I139*I136))</f>
        <v>0</v>
      </c>
      <c r="J140" s="7">
        <f t="shared" si="70"/>
        <v>0</v>
      </c>
      <c r="K140" s="7">
        <f t="shared" si="70"/>
        <v>0</v>
      </c>
      <c r="L140" s="141">
        <f>SUM(F140:K140)</f>
        <v>2871.4524356642</v>
      </c>
      <c r="M140" s="140">
        <f>L140-O133</f>
        <v>-34.183957567431207</v>
      </c>
      <c r="N140" s="2" t="s">
        <v>61</v>
      </c>
      <c r="R140" s="351"/>
    </row>
    <row r="141" spans="1:18" x14ac:dyDescent="0.25">
      <c r="A141" s="78"/>
      <c r="C141" s="101"/>
      <c r="D141" s="101" t="s">
        <v>401</v>
      </c>
      <c r="F141" s="670">
        <v>0</v>
      </c>
      <c r="G141" s="670">
        <v>0</v>
      </c>
      <c r="H141" s="670">
        <v>70.833333333333343</v>
      </c>
      <c r="I141" s="670">
        <v>0</v>
      </c>
      <c r="J141" s="670">
        <v>0</v>
      </c>
      <c r="K141" s="670">
        <v>0</v>
      </c>
      <c r="L141" s="141"/>
      <c r="M141" s="140"/>
      <c r="R141" s="351"/>
    </row>
    <row r="142" spans="1:18" x14ac:dyDescent="0.25">
      <c r="A142" s="171"/>
      <c r="B142" s="171" t="s">
        <v>70</v>
      </c>
      <c r="C142" s="171"/>
      <c r="D142" s="171"/>
      <c r="E142" s="172"/>
      <c r="F142" s="173"/>
      <c r="G142" s="173"/>
      <c r="H142" s="173"/>
      <c r="I142" s="173"/>
      <c r="J142" s="173"/>
      <c r="K142" s="173"/>
      <c r="L142" s="173"/>
      <c r="M142" s="173"/>
      <c r="N142" s="172"/>
      <c r="O142" s="172"/>
      <c r="P142" s="172"/>
      <c r="Q142" s="172"/>
    </row>
    <row r="143" spans="1:18" x14ac:dyDescent="0.25">
      <c r="A143" s="74">
        <v>9257028</v>
      </c>
      <c r="B143" t="str">
        <f>CONCATENATE(A143,C143)</f>
        <v>92570282022/23</v>
      </c>
      <c r="C143" s="672" t="s">
        <v>306</v>
      </c>
      <c r="D143" s="101" t="s">
        <v>346</v>
      </c>
      <c r="E143" s="37">
        <f>SUM(F143:K143)</f>
        <v>0</v>
      </c>
      <c r="F143" s="670">
        <f>'2223 MFG Protection'!F152</f>
        <v>0</v>
      </c>
      <c r="G143" s="670">
        <f>'2223 MFG Protection'!G152</f>
        <v>0</v>
      </c>
      <c r="H143" s="670">
        <f>'2223 MFG Protection'!H152</f>
        <v>0</v>
      </c>
      <c r="I143" s="670">
        <f>'2223 MFG Protection'!I152</f>
        <v>0</v>
      </c>
      <c r="J143" s="670">
        <f>'2223 MFG Protection'!J152</f>
        <v>0</v>
      </c>
      <c r="K143" s="670">
        <f>'2223 MFG Protection'!K152</f>
        <v>0</v>
      </c>
      <c r="L143" s="37"/>
      <c r="N143" s="7"/>
      <c r="O143" s="140">
        <f>'2223 MFG Protection'!L151</f>
        <v>0</v>
      </c>
      <c r="R143" s="351"/>
    </row>
    <row r="144" spans="1:18" x14ac:dyDescent="0.25">
      <c r="A144" s="74">
        <v>9257028</v>
      </c>
      <c r="B144" t="str">
        <f>CONCATENATE(A144,C144)</f>
        <v>92570282023/24</v>
      </c>
      <c r="C144" s="101" t="s">
        <v>312</v>
      </c>
      <c r="D144" t="str">
        <f>CONCATENATE(A144,C144)</f>
        <v>92570282023/24</v>
      </c>
      <c r="E144" s="37">
        <f>VLOOKUP(A144,'2324 Funding Detail'!$A$4:$M$20,13,(FALSE))</f>
        <v>138.66666666666669</v>
      </c>
      <c r="F144" s="549">
        <f>$E$144*'2324 Band Calculations'!D19</f>
        <v>12.50273224043716</v>
      </c>
      <c r="G144" s="549">
        <f>$E$144*'2324 Band Calculations'!E19</f>
        <v>63.650273224043723</v>
      </c>
      <c r="H144" s="549">
        <f>$E$144*'2324 Band Calculations'!F19</f>
        <v>9.0928961748633892</v>
      </c>
      <c r="I144" s="549">
        <f>$E$144*'2324 Band Calculations'!G19</f>
        <v>11.366120218579235</v>
      </c>
      <c r="J144" s="549">
        <f>$E$144*'2324 Band Calculations'!H19</f>
        <v>12.50273224043716</v>
      </c>
      <c r="K144" s="549">
        <f>$E$144*'2324 Band Calculations'!I19</f>
        <v>9.0928961748633892</v>
      </c>
      <c r="L144" s="169">
        <f>$E$144*'2324 Band Calculations'!J19</f>
        <v>20.459016393442624</v>
      </c>
      <c r="N144" s="7"/>
      <c r="R144" s="351"/>
    </row>
    <row r="145" spans="1:18" x14ac:dyDescent="0.25">
      <c r="A145" s="74">
        <v>9257028</v>
      </c>
      <c r="B145" t="str">
        <f t="shared" ref="B145:B148" si="71">CONCATENATE(A145,C145)</f>
        <v>9257028</v>
      </c>
      <c r="F145" s="170">
        <f t="shared" ref="F145:K145" si="72">F144-F143</f>
        <v>12.50273224043716</v>
      </c>
      <c r="G145" s="170">
        <f t="shared" si="72"/>
        <v>63.650273224043723</v>
      </c>
      <c r="H145" s="170">
        <f t="shared" si="72"/>
        <v>9.0928961748633892</v>
      </c>
      <c r="I145" s="170">
        <f t="shared" si="72"/>
        <v>11.366120218579235</v>
      </c>
      <c r="J145" s="170">
        <f t="shared" si="72"/>
        <v>12.50273224043716</v>
      </c>
      <c r="K145" s="170">
        <f t="shared" si="72"/>
        <v>9.0928961748633892</v>
      </c>
      <c r="R145" s="351"/>
    </row>
    <row r="146" spans="1:18" x14ac:dyDescent="0.25">
      <c r="A146" s="74">
        <v>9257028</v>
      </c>
      <c r="B146" t="str">
        <f t="shared" si="71"/>
        <v>9257028a</v>
      </c>
      <c r="C146" s="101" t="s">
        <v>349</v>
      </c>
      <c r="D146" s="101" t="s">
        <v>346</v>
      </c>
      <c r="F146" s="549">
        <f t="shared" ref="F146:K146" si="73">IF(F143&gt;F144,(F144),(F143))</f>
        <v>0</v>
      </c>
      <c r="G146" s="549">
        <f t="shared" si="73"/>
        <v>0</v>
      </c>
      <c r="H146" s="549">
        <f t="shared" si="73"/>
        <v>0</v>
      </c>
      <c r="I146" s="549">
        <f t="shared" si="73"/>
        <v>0</v>
      </c>
      <c r="J146" s="549">
        <f t="shared" si="73"/>
        <v>0</v>
      </c>
      <c r="K146" s="549">
        <f t="shared" si="73"/>
        <v>0</v>
      </c>
      <c r="L146" s="37"/>
      <c r="M146" s="7"/>
      <c r="O146" s="7"/>
      <c r="P146" s="7"/>
      <c r="R146" s="351"/>
    </row>
    <row r="147" spans="1:18" x14ac:dyDescent="0.25">
      <c r="A147" s="74"/>
      <c r="B147" t="s">
        <v>386</v>
      </c>
      <c r="C147" s="101" t="s">
        <v>306</v>
      </c>
      <c r="D147" s="101" t="s">
        <v>351</v>
      </c>
      <c r="F147" s="664">
        <f>'2223 MFG Protection'!F150</f>
        <v>0</v>
      </c>
      <c r="G147" s="664">
        <f>'2223 MFG Protection'!G150</f>
        <v>0</v>
      </c>
      <c r="H147" s="664">
        <f>'2223 MFG Protection'!H150</f>
        <v>0</v>
      </c>
      <c r="I147" s="664">
        <f>'2223 MFG Protection'!I150</f>
        <v>0</v>
      </c>
      <c r="J147" s="664">
        <f>'2223 MFG Protection'!J150</f>
        <v>0</v>
      </c>
      <c r="K147" s="664">
        <f>'2223 MFG Protection'!K150</f>
        <v>0</v>
      </c>
      <c r="L147" s="37"/>
      <c r="M147" s="7"/>
      <c r="O147" s="7"/>
      <c r="P147" s="7"/>
      <c r="R147" s="351"/>
    </row>
    <row r="148" spans="1:18" x14ac:dyDescent="0.25">
      <c r="A148" s="74">
        <v>9257028</v>
      </c>
      <c r="B148" t="str">
        <f t="shared" si="71"/>
        <v>9257028b</v>
      </c>
      <c r="C148" s="101" t="s">
        <v>353</v>
      </c>
      <c r="D148" s="101" t="s">
        <v>354</v>
      </c>
      <c r="F148" s="671">
        <v>0</v>
      </c>
      <c r="G148" s="671">
        <v>0</v>
      </c>
      <c r="H148" s="671">
        <v>0</v>
      </c>
      <c r="I148" s="671">
        <v>0</v>
      </c>
      <c r="J148" s="671">
        <v>0</v>
      </c>
      <c r="K148" s="671">
        <v>0</v>
      </c>
      <c r="L148" s="37"/>
      <c r="M148" s="7"/>
      <c r="R148" s="351"/>
    </row>
    <row r="149" spans="1:18" x14ac:dyDescent="0.25">
      <c r="A149" s="74"/>
      <c r="B149" t="s">
        <v>387</v>
      </c>
      <c r="C149" s="101" t="s">
        <v>312</v>
      </c>
      <c r="D149" s="101" t="s">
        <v>351</v>
      </c>
      <c r="F149" s="550">
        <f>IF(F147-F148&gt;0,(F147-F148),(0))</f>
        <v>0</v>
      </c>
      <c r="G149" s="550">
        <f t="shared" ref="G149:K149" si="74">IF(G147-G148&gt;0,(G147-G148),(0))</f>
        <v>0</v>
      </c>
      <c r="H149" s="550">
        <f t="shared" si="74"/>
        <v>0</v>
      </c>
      <c r="I149" s="550">
        <f t="shared" si="74"/>
        <v>0</v>
      </c>
      <c r="J149" s="550">
        <f t="shared" si="74"/>
        <v>0</v>
      </c>
      <c r="K149" s="550">
        <f t="shared" si="74"/>
        <v>0</v>
      </c>
      <c r="L149" s="37"/>
      <c r="M149" s="7"/>
      <c r="R149" s="351"/>
    </row>
    <row r="150" spans="1:18" x14ac:dyDescent="0.25">
      <c r="A150" s="74">
        <v>9257028</v>
      </c>
      <c r="B150" t="str">
        <f>CONCATENATE(A150,C150)</f>
        <v>9257028c</v>
      </c>
      <c r="C150" s="101" t="s">
        <v>357</v>
      </c>
      <c r="D150" s="101" t="s">
        <v>217</v>
      </c>
      <c r="F150" s="7">
        <f t="shared" ref="F150:K150" si="75">IF(F149&lt;0,0,(F149*F146))</f>
        <v>0</v>
      </c>
      <c r="G150" s="7">
        <f t="shared" si="75"/>
        <v>0</v>
      </c>
      <c r="H150" s="7">
        <f t="shared" si="75"/>
        <v>0</v>
      </c>
      <c r="I150" s="7">
        <f t="shared" si="75"/>
        <v>0</v>
      </c>
      <c r="J150" s="7">
        <f t="shared" si="75"/>
        <v>0</v>
      </c>
      <c r="K150" s="7">
        <f t="shared" si="75"/>
        <v>0</v>
      </c>
      <c r="L150" s="141">
        <f>SUM(F150:K150)</f>
        <v>0</v>
      </c>
      <c r="M150" s="140">
        <f>L150-O143</f>
        <v>0</v>
      </c>
      <c r="R150" s="351"/>
    </row>
    <row r="151" spans="1:18" x14ac:dyDescent="0.25">
      <c r="A151" s="78"/>
      <c r="C151" s="101"/>
      <c r="D151" s="101" t="s">
        <v>401</v>
      </c>
      <c r="F151" s="670">
        <v>0</v>
      </c>
      <c r="G151" s="670">
        <v>0</v>
      </c>
      <c r="H151" s="670">
        <v>0</v>
      </c>
      <c r="I151" s="670">
        <v>0</v>
      </c>
      <c r="J151" s="670">
        <v>0</v>
      </c>
      <c r="K151" s="670">
        <v>0</v>
      </c>
      <c r="L151" s="141"/>
      <c r="M151" s="140"/>
      <c r="R151" s="351"/>
    </row>
    <row r="152" spans="1:18" x14ac:dyDescent="0.25">
      <c r="A152" s="171"/>
      <c r="B152" s="171" t="s">
        <v>71</v>
      </c>
      <c r="C152" s="171"/>
      <c r="D152" s="171"/>
      <c r="E152" s="172"/>
      <c r="F152" s="173"/>
      <c r="G152" s="173"/>
      <c r="H152" s="173"/>
      <c r="I152" s="173"/>
      <c r="J152" s="173"/>
      <c r="K152" s="173"/>
      <c r="L152" s="173"/>
      <c r="M152" s="173"/>
      <c r="N152" s="172"/>
      <c r="O152" s="172"/>
      <c r="P152" s="172"/>
      <c r="Q152" s="172"/>
    </row>
    <row r="153" spans="1:18" x14ac:dyDescent="0.25">
      <c r="A153" s="74">
        <v>9257021</v>
      </c>
      <c r="B153" t="str">
        <f>CONCATENATE(A153,C153)</f>
        <v>92570212022/23</v>
      </c>
      <c r="C153" s="672" t="s">
        <v>306</v>
      </c>
      <c r="D153" s="101" t="s">
        <v>346</v>
      </c>
      <c r="E153" s="37">
        <f>SUM(F153:K153)</f>
        <v>0</v>
      </c>
      <c r="F153" s="670">
        <f>'2223 MFG Protection'!F162</f>
        <v>0</v>
      </c>
      <c r="G153" s="670">
        <f>'2223 MFG Protection'!G162</f>
        <v>0</v>
      </c>
      <c r="H153" s="670">
        <f>'2223 MFG Protection'!H162</f>
        <v>0</v>
      </c>
      <c r="I153" s="670">
        <f>'2223 MFG Protection'!I162</f>
        <v>0</v>
      </c>
      <c r="J153" s="670">
        <f>'2223 MFG Protection'!J162</f>
        <v>0</v>
      </c>
      <c r="K153" s="670">
        <f>'2223 MFG Protection'!K162</f>
        <v>0</v>
      </c>
      <c r="L153" s="37"/>
      <c r="N153" s="7"/>
      <c r="O153" s="140">
        <f>'2223 MFG Protection'!L161</f>
        <v>0</v>
      </c>
      <c r="R153" s="351"/>
    </row>
    <row r="154" spans="1:18" x14ac:dyDescent="0.25">
      <c r="A154" s="74">
        <v>9257021</v>
      </c>
      <c r="B154" t="str">
        <f>CONCATENATE(A154,C154)</f>
        <v>92570212023/24</v>
      </c>
      <c r="C154" s="101" t="s">
        <v>312</v>
      </c>
      <c r="D154" t="str">
        <f>CONCATENATE(A154,C154)</f>
        <v>92570212023/24</v>
      </c>
      <c r="E154" s="37">
        <f>VLOOKUP(A154,'2324 Funding Detail'!$A$4:$M$20,13,(FALSE))</f>
        <v>178.58333333333334</v>
      </c>
      <c r="F154" s="549">
        <f>$E$154*'2324 Band Calculations'!D20</f>
        <v>37.817647058823532</v>
      </c>
      <c r="G154" s="549">
        <f>$E$154*'2324 Band Calculations'!E20</f>
        <v>93.493627450980398</v>
      </c>
      <c r="H154" s="549">
        <f>$E$154*'2324 Band Calculations'!F20</f>
        <v>18.908823529411766</v>
      </c>
      <c r="I154" s="549">
        <f>$E$154*'2324 Band Calculations'!G20</f>
        <v>12.605882352941176</v>
      </c>
      <c r="J154" s="549">
        <f>$E$154*'2324 Band Calculations'!H20</f>
        <v>5.2524509803921573</v>
      </c>
      <c r="K154" s="549">
        <f>$E$154*'2324 Band Calculations'!I20</f>
        <v>8.4039215686274513</v>
      </c>
      <c r="L154" s="169">
        <f>$E$154*'2324 Band Calculations'!J20</f>
        <v>2.1009803921568628</v>
      </c>
      <c r="N154" s="7"/>
      <c r="R154" s="351"/>
    </row>
    <row r="155" spans="1:18" x14ac:dyDescent="0.25">
      <c r="A155" s="74">
        <v>9257021</v>
      </c>
      <c r="B155" t="str">
        <f t="shared" ref="B155:B158" si="76">CONCATENATE(A155,C155)</f>
        <v>9257021</v>
      </c>
      <c r="F155" s="170">
        <f t="shared" ref="F155:K155" si="77">F154-F153</f>
        <v>37.817647058823532</v>
      </c>
      <c r="G155" s="170">
        <f t="shared" si="77"/>
        <v>93.493627450980398</v>
      </c>
      <c r="H155" s="170">
        <f t="shared" si="77"/>
        <v>18.908823529411766</v>
      </c>
      <c r="I155" s="170">
        <f t="shared" si="77"/>
        <v>12.605882352941176</v>
      </c>
      <c r="J155" s="170">
        <f t="shared" si="77"/>
        <v>5.2524509803921573</v>
      </c>
      <c r="K155" s="170">
        <f t="shared" si="77"/>
        <v>8.4039215686274513</v>
      </c>
      <c r="R155" s="351"/>
    </row>
    <row r="156" spans="1:18" x14ac:dyDescent="0.25">
      <c r="A156" s="74">
        <v>9257021</v>
      </c>
      <c r="B156" t="str">
        <f t="shared" si="76"/>
        <v>9257021a</v>
      </c>
      <c r="C156" s="101" t="s">
        <v>349</v>
      </c>
      <c r="D156" s="101" t="s">
        <v>346</v>
      </c>
      <c r="F156" s="549">
        <f t="shared" ref="F156:K156" si="78">IF(F153&gt;F154,(F154),(F153))</f>
        <v>0</v>
      </c>
      <c r="G156" s="549">
        <f t="shared" si="78"/>
        <v>0</v>
      </c>
      <c r="H156" s="549">
        <f t="shared" si="78"/>
        <v>0</v>
      </c>
      <c r="I156" s="549">
        <f t="shared" si="78"/>
        <v>0</v>
      </c>
      <c r="J156" s="549">
        <f t="shared" si="78"/>
        <v>0</v>
      </c>
      <c r="K156" s="549">
        <f t="shared" si="78"/>
        <v>0</v>
      </c>
      <c r="L156" s="37"/>
      <c r="M156" s="7"/>
      <c r="O156" s="7"/>
      <c r="P156" s="7"/>
      <c r="R156" s="351"/>
    </row>
    <row r="157" spans="1:18" x14ac:dyDescent="0.25">
      <c r="A157" s="74"/>
      <c r="B157" t="s">
        <v>388</v>
      </c>
      <c r="C157" s="101" t="s">
        <v>306</v>
      </c>
      <c r="D157" s="101" t="s">
        <v>351</v>
      </c>
      <c r="F157" s="664">
        <f>'2223 MFG Protection'!F160</f>
        <v>0</v>
      </c>
      <c r="G157" s="664">
        <f>'2223 MFG Protection'!G160</f>
        <v>0</v>
      </c>
      <c r="H157" s="664">
        <f>'2223 MFG Protection'!H160</f>
        <v>0</v>
      </c>
      <c r="I157" s="664">
        <f>'2223 MFG Protection'!I160</f>
        <v>0</v>
      </c>
      <c r="J157" s="664">
        <f>'2223 MFG Protection'!J160</f>
        <v>0</v>
      </c>
      <c r="K157" s="664">
        <f>'2223 MFG Protection'!K160</f>
        <v>0</v>
      </c>
      <c r="L157" s="37"/>
      <c r="M157" s="7"/>
      <c r="O157" s="7"/>
      <c r="P157" s="7"/>
      <c r="R157" s="351"/>
    </row>
    <row r="158" spans="1:18" x14ac:dyDescent="0.25">
      <c r="A158" s="74">
        <v>9257021</v>
      </c>
      <c r="B158" t="str">
        <f t="shared" si="76"/>
        <v>9257021b</v>
      </c>
      <c r="C158" s="101" t="s">
        <v>353</v>
      </c>
      <c r="D158" s="101" t="s">
        <v>354</v>
      </c>
      <c r="F158" s="671">
        <v>0</v>
      </c>
      <c r="G158" s="671">
        <v>0</v>
      </c>
      <c r="H158" s="671">
        <v>0</v>
      </c>
      <c r="I158" s="671">
        <v>0</v>
      </c>
      <c r="J158" s="671">
        <v>0</v>
      </c>
      <c r="K158" s="671">
        <v>0</v>
      </c>
      <c r="L158" s="37"/>
      <c r="M158" s="7"/>
      <c r="R158" s="351"/>
    </row>
    <row r="159" spans="1:18" x14ac:dyDescent="0.25">
      <c r="A159" s="74"/>
      <c r="B159" t="s">
        <v>389</v>
      </c>
      <c r="C159" s="101" t="s">
        <v>312</v>
      </c>
      <c r="D159" s="101" t="s">
        <v>351</v>
      </c>
      <c r="F159" s="550">
        <f>IF(F157-F158&gt;0,(F157-F158),(0))</f>
        <v>0</v>
      </c>
      <c r="G159" s="550">
        <f t="shared" ref="G159:K159" si="79">IF(G157-G158&gt;0,(G157-G158),(0))</f>
        <v>0</v>
      </c>
      <c r="H159" s="550">
        <f t="shared" si="79"/>
        <v>0</v>
      </c>
      <c r="I159" s="550">
        <f t="shared" si="79"/>
        <v>0</v>
      </c>
      <c r="J159" s="550">
        <f t="shared" si="79"/>
        <v>0</v>
      </c>
      <c r="K159" s="550">
        <f t="shared" si="79"/>
        <v>0</v>
      </c>
      <c r="L159" s="37"/>
      <c r="M159" s="7"/>
      <c r="R159" s="351"/>
    </row>
    <row r="160" spans="1:18" x14ac:dyDescent="0.25">
      <c r="A160" s="74">
        <v>9257021</v>
      </c>
      <c r="B160" t="str">
        <f>CONCATENATE(A160,C160)</f>
        <v>9257021c</v>
      </c>
      <c r="C160" s="101" t="s">
        <v>357</v>
      </c>
      <c r="D160" s="101" t="s">
        <v>217</v>
      </c>
      <c r="F160" s="7">
        <f t="shared" ref="F160:K160" si="80">IF(F159&lt;0,0,(F159*F156))</f>
        <v>0</v>
      </c>
      <c r="G160" s="7">
        <f t="shared" si="80"/>
        <v>0</v>
      </c>
      <c r="H160" s="7">
        <f t="shared" si="80"/>
        <v>0</v>
      </c>
      <c r="I160" s="7">
        <f t="shared" si="80"/>
        <v>0</v>
      </c>
      <c r="J160" s="7">
        <f t="shared" si="80"/>
        <v>0</v>
      </c>
      <c r="K160" s="7">
        <f t="shared" si="80"/>
        <v>0</v>
      </c>
      <c r="L160" s="141">
        <f>SUM(F160:K160)</f>
        <v>0</v>
      </c>
      <c r="M160" s="140">
        <f>L160-O153</f>
        <v>0</v>
      </c>
      <c r="R160" s="351"/>
    </row>
    <row r="161" spans="1:18" x14ac:dyDescent="0.25">
      <c r="A161" s="78"/>
      <c r="C161" s="101"/>
      <c r="D161" s="101" t="s">
        <v>401</v>
      </c>
      <c r="F161" s="670">
        <v>0</v>
      </c>
      <c r="G161" s="670">
        <v>0</v>
      </c>
      <c r="H161" s="670">
        <v>0</v>
      </c>
      <c r="I161" s="670">
        <v>0</v>
      </c>
      <c r="J161" s="670">
        <v>0</v>
      </c>
      <c r="K161" s="670">
        <v>0</v>
      </c>
      <c r="L161" s="141"/>
      <c r="M161" s="140"/>
      <c r="R161" s="351"/>
    </row>
    <row r="162" spans="1:18" x14ac:dyDescent="0.25">
      <c r="A162" s="171"/>
      <c r="B162" s="171" t="s">
        <v>72</v>
      </c>
      <c r="C162" s="171"/>
      <c r="D162" s="171"/>
      <c r="E162" s="172"/>
      <c r="F162" s="173"/>
      <c r="G162" s="173"/>
      <c r="H162" s="173"/>
      <c r="I162" s="173"/>
      <c r="J162" s="173"/>
      <c r="K162" s="173"/>
      <c r="L162" s="173"/>
      <c r="M162" s="173"/>
      <c r="N162" s="172"/>
      <c r="O162" s="172"/>
      <c r="P162" s="172"/>
      <c r="Q162" s="172"/>
    </row>
    <row r="163" spans="1:18" x14ac:dyDescent="0.25">
      <c r="A163" s="74">
        <v>9257015</v>
      </c>
      <c r="B163" t="str">
        <f>CONCATENATE(A163,C163)</f>
        <v>92570152022/23</v>
      </c>
      <c r="C163" s="672" t="s">
        <v>306</v>
      </c>
      <c r="D163" s="101" t="s">
        <v>346</v>
      </c>
      <c r="E163" s="37">
        <f>SUM(F163:K163)</f>
        <v>0</v>
      </c>
      <c r="F163" s="670">
        <f>'2223 MFG Protection'!F172</f>
        <v>0</v>
      </c>
      <c r="G163" s="670">
        <f>'2223 MFG Protection'!G172</f>
        <v>0</v>
      </c>
      <c r="H163" s="670">
        <f>'2223 MFG Protection'!H172</f>
        <v>0</v>
      </c>
      <c r="I163" s="670">
        <f>'2223 MFG Protection'!I172</f>
        <v>0</v>
      </c>
      <c r="J163" s="670">
        <f>'2223 MFG Protection'!J172</f>
        <v>0</v>
      </c>
      <c r="K163" s="670">
        <f>'2223 MFG Protection'!K172</f>
        <v>0</v>
      </c>
      <c r="L163" s="37"/>
      <c r="N163" s="7"/>
      <c r="O163" s="140">
        <f>'2223 MFG Protection'!L171</f>
        <v>0</v>
      </c>
      <c r="R163" s="351"/>
    </row>
    <row r="164" spans="1:18" x14ac:dyDescent="0.25">
      <c r="A164" s="74">
        <v>9257015</v>
      </c>
      <c r="B164" t="str">
        <f>CONCATENATE(A164,C164)</f>
        <v>92570152023/24</v>
      </c>
      <c r="C164" s="101" t="s">
        <v>312</v>
      </c>
      <c r="D164" t="str">
        <f>CONCATENATE(A164,C164)</f>
        <v>92570152023/24</v>
      </c>
      <c r="E164" s="37">
        <f>VLOOKUP(A164,'2324 Funding Detail'!$A$4:$M$20,13,(FALSE))</f>
        <v>234.33333333333337</v>
      </c>
      <c r="F164" s="549">
        <f>$E$164*'2324 Band Calculations'!D21</f>
        <v>63.249262536873161</v>
      </c>
      <c r="G164" s="549">
        <f>$E$164*'2324 Band Calculations'!E21</f>
        <v>98.502949852507385</v>
      </c>
      <c r="H164" s="549">
        <f>$E$164*'2324 Band Calculations'!F21</f>
        <v>5.1843657817109152</v>
      </c>
      <c r="I164" s="549">
        <f>$E$164*'2324 Band Calculations'!G21</f>
        <v>20.737463126843661</v>
      </c>
      <c r="J164" s="549">
        <f>$E$164*'2324 Band Calculations'!H21</f>
        <v>5.1843657817109152</v>
      </c>
      <c r="K164" s="549">
        <f>$E$164*'2324 Band Calculations'!I21</f>
        <v>37.327433628318587</v>
      </c>
      <c r="L164" s="169">
        <f>$E$164*'2324 Band Calculations'!J21</f>
        <v>4.1474926253687325</v>
      </c>
      <c r="N164" s="7"/>
      <c r="R164" s="351"/>
    </row>
    <row r="165" spans="1:18" x14ac:dyDescent="0.25">
      <c r="A165" s="74">
        <v>9257015</v>
      </c>
      <c r="B165" t="str">
        <f t="shared" ref="B165:B168" si="81">CONCATENATE(A165,C165)</f>
        <v>9257015</v>
      </c>
      <c r="F165" s="170">
        <f t="shared" ref="F165:K165" si="82">F164-F163</f>
        <v>63.249262536873161</v>
      </c>
      <c r="G165" s="170">
        <f t="shared" si="82"/>
        <v>98.502949852507385</v>
      </c>
      <c r="H165" s="170">
        <f t="shared" si="82"/>
        <v>5.1843657817109152</v>
      </c>
      <c r="I165" s="170">
        <f t="shared" si="82"/>
        <v>20.737463126843661</v>
      </c>
      <c r="J165" s="170">
        <f t="shared" si="82"/>
        <v>5.1843657817109152</v>
      </c>
      <c r="K165" s="170">
        <f t="shared" si="82"/>
        <v>37.327433628318587</v>
      </c>
      <c r="L165" s="169"/>
      <c r="R165" s="351"/>
    </row>
    <row r="166" spans="1:18" x14ac:dyDescent="0.25">
      <c r="A166" s="74">
        <v>9257015</v>
      </c>
      <c r="B166" t="str">
        <f t="shared" si="81"/>
        <v>9257015a</v>
      </c>
      <c r="C166" s="101" t="s">
        <v>349</v>
      </c>
      <c r="D166" s="101" t="s">
        <v>346</v>
      </c>
      <c r="F166" s="549">
        <f t="shared" ref="F166:K166" si="83">IF(F163&gt;F164,(F164),(F163))</f>
        <v>0</v>
      </c>
      <c r="G166" s="549">
        <f t="shared" si="83"/>
        <v>0</v>
      </c>
      <c r="H166" s="549">
        <f t="shared" si="83"/>
        <v>0</v>
      </c>
      <c r="I166" s="549">
        <f t="shared" si="83"/>
        <v>0</v>
      </c>
      <c r="J166" s="549">
        <f t="shared" si="83"/>
        <v>0</v>
      </c>
      <c r="K166" s="549">
        <f t="shared" si="83"/>
        <v>0</v>
      </c>
      <c r="L166" s="37"/>
      <c r="M166" s="7"/>
      <c r="O166" s="7"/>
      <c r="P166" s="7"/>
      <c r="R166" s="351"/>
    </row>
    <row r="167" spans="1:18" x14ac:dyDescent="0.25">
      <c r="A167" s="74"/>
      <c r="B167" t="s">
        <v>390</v>
      </c>
      <c r="C167" s="101" t="s">
        <v>306</v>
      </c>
      <c r="D167" s="101" t="s">
        <v>351</v>
      </c>
      <c r="F167" s="664">
        <f>'2223 MFG Protection'!F170</f>
        <v>0</v>
      </c>
      <c r="G167" s="664">
        <f>'2223 MFG Protection'!G170</f>
        <v>0</v>
      </c>
      <c r="H167" s="664">
        <f>'2223 MFG Protection'!H170</f>
        <v>0</v>
      </c>
      <c r="I167" s="664">
        <f>'2223 MFG Protection'!I170</f>
        <v>0</v>
      </c>
      <c r="J167" s="664">
        <f>'2223 MFG Protection'!J170</f>
        <v>0</v>
      </c>
      <c r="K167" s="664">
        <f>'2223 MFG Protection'!K170</f>
        <v>0</v>
      </c>
      <c r="L167" s="37"/>
      <c r="M167" s="7"/>
      <c r="O167" s="7"/>
      <c r="P167" s="7"/>
      <c r="R167" s="351"/>
    </row>
    <row r="168" spans="1:18" x14ac:dyDescent="0.25">
      <c r="A168" s="74">
        <v>9257015</v>
      </c>
      <c r="B168" t="str">
        <f t="shared" si="81"/>
        <v>9257015b</v>
      </c>
      <c r="C168" s="101" t="s">
        <v>353</v>
      </c>
      <c r="D168" s="101" t="s">
        <v>354</v>
      </c>
      <c r="F168" s="671">
        <v>0</v>
      </c>
      <c r="G168" s="671">
        <v>0</v>
      </c>
      <c r="H168" s="671">
        <v>0</v>
      </c>
      <c r="I168" s="671">
        <v>0</v>
      </c>
      <c r="J168" s="671">
        <v>0</v>
      </c>
      <c r="K168" s="671">
        <v>0</v>
      </c>
      <c r="L168" s="37"/>
      <c r="M168" s="7"/>
      <c r="R168" s="351"/>
    </row>
    <row r="169" spans="1:18" x14ac:dyDescent="0.25">
      <c r="A169" s="74"/>
      <c r="B169" t="s">
        <v>391</v>
      </c>
      <c r="C169" s="101" t="s">
        <v>312</v>
      </c>
      <c r="D169" s="101" t="s">
        <v>351</v>
      </c>
      <c r="F169" s="550">
        <f>IF(F167-F168&gt;0,(F167-F168),(0))</f>
        <v>0</v>
      </c>
      <c r="G169" s="550">
        <f t="shared" ref="G169:K169" si="84">IF(G167-G168&gt;0,(G167-G168),(0))</f>
        <v>0</v>
      </c>
      <c r="H169" s="550">
        <f t="shared" si="84"/>
        <v>0</v>
      </c>
      <c r="I169" s="550">
        <f t="shared" si="84"/>
        <v>0</v>
      </c>
      <c r="J169" s="550">
        <f t="shared" si="84"/>
        <v>0</v>
      </c>
      <c r="K169" s="550">
        <f t="shared" si="84"/>
        <v>0</v>
      </c>
      <c r="L169" s="37"/>
      <c r="M169" s="7"/>
      <c r="R169" s="351"/>
    </row>
    <row r="170" spans="1:18" x14ac:dyDescent="0.25">
      <c r="A170" s="74">
        <v>9257015</v>
      </c>
      <c r="B170" t="str">
        <f>CONCATENATE(A170,C170)</f>
        <v>9257015c</v>
      </c>
      <c r="C170" s="101" t="s">
        <v>357</v>
      </c>
      <c r="D170" s="101" t="s">
        <v>217</v>
      </c>
      <c r="F170" s="7">
        <f t="shared" ref="F170:K170" si="85">IF(F169&lt;0,0,(F169*F166))</f>
        <v>0</v>
      </c>
      <c r="G170" s="7">
        <f t="shared" si="85"/>
        <v>0</v>
      </c>
      <c r="H170" s="7">
        <f t="shared" si="85"/>
        <v>0</v>
      </c>
      <c r="I170" s="7">
        <f t="shared" si="85"/>
        <v>0</v>
      </c>
      <c r="J170" s="7">
        <f t="shared" si="85"/>
        <v>0</v>
      </c>
      <c r="K170" s="7">
        <f t="shared" si="85"/>
        <v>0</v>
      </c>
      <c r="L170" s="141">
        <f>SUM(F170:K170)</f>
        <v>0</v>
      </c>
      <c r="M170" s="140">
        <f>L170-O163</f>
        <v>0</v>
      </c>
      <c r="R170" s="351"/>
    </row>
    <row r="171" spans="1:18" x14ac:dyDescent="0.25">
      <c r="A171" s="78"/>
      <c r="C171" s="101"/>
      <c r="D171" s="101" t="s">
        <v>401</v>
      </c>
      <c r="F171" s="670">
        <v>0</v>
      </c>
      <c r="G171" s="670">
        <v>0</v>
      </c>
      <c r="H171" s="670">
        <v>0</v>
      </c>
      <c r="I171" s="670">
        <v>0</v>
      </c>
      <c r="J171" s="670">
        <v>0</v>
      </c>
      <c r="K171" s="670">
        <v>0</v>
      </c>
      <c r="L171" s="141"/>
      <c r="M171" s="140"/>
      <c r="R171" s="351"/>
    </row>
    <row r="172" spans="1:18" x14ac:dyDescent="0.25">
      <c r="A172" s="171"/>
      <c r="B172" s="171" t="s">
        <v>73</v>
      </c>
      <c r="C172" s="171"/>
      <c r="D172" s="171"/>
      <c r="E172" s="172"/>
      <c r="F172" s="173"/>
      <c r="G172" s="173"/>
      <c r="H172" s="173"/>
      <c r="I172" s="173"/>
      <c r="J172" s="173"/>
      <c r="K172" s="173"/>
      <c r="L172" s="173"/>
      <c r="M172" s="173"/>
      <c r="N172" s="172"/>
      <c r="O172" s="172"/>
      <c r="P172" s="172"/>
      <c r="Q172" s="172"/>
    </row>
    <row r="173" spans="1:18" x14ac:dyDescent="0.25">
      <c r="A173" s="74">
        <v>9257016</v>
      </c>
      <c r="B173" t="str">
        <f>CONCATENATE(A173,C173)</f>
        <v>92570162022/23</v>
      </c>
      <c r="C173" s="672" t="s">
        <v>306</v>
      </c>
      <c r="D173" s="101" t="s">
        <v>346</v>
      </c>
      <c r="E173" s="37">
        <f>SUM(F173:K173)</f>
        <v>0</v>
      </c>
      <c r="F173" s="670">
        <f>'2223 MFG Protection'!F182</f>
        <v>0</v>
      </c>
      <c r="G173" s="670">
        <f>'2223 MFG Protection'!G182</f>
        <v>0</v>
      </c>
      <c r="H173" s="670">
        <f>'2223 MFG Protection'!H182</f>
        <v>0</v>
      </c>
      <c r="I173" s="670">
        <f>'2223 MFG Protection'!I182</f>
        <v>0</v>
      </c>
      <c r="J173" s="670">
        <f>'2223 MFG Protection'!J182</f>
        <v>0</v>
      </c>
      <c r="K173" s="670">
        <f>'2223 MFG Protection'!K182</f>
        <v>0</v>
      </c>
      <c r="L173" s="37"/>
      <c r="N173" s="7"/>
      <c r="O173" s="140">
        <f>'2223 MFG Protection'!L181</f>
        <v>0</v>
      </c>
      <c r="R173" s="351"/>
    </row>
    <row r="174" spans="1:18" x14ac:dyDescent="0.25">
      <c r="A174" s="74">
        <v>9257016</v>
      </c>
      <c r="B174" t="str">
        <f>CONCATENATE(A174,C174)</f>
        <v>92570162023/24</v>
      </c>
      <c r="C174" s="101" t="s">
        <v>312</v>
      </c>
      <c r="D174" t="str">
        <f>CONCATENATE(A174,C174)</f>
        <v>92570162023/24</v>
      </c>
      <c r="E174" s="37">
        <f>VLOOKUP(A174,'2324 Funding Detail'!$A$4:$M$20,13,(FALSE))</f>
        <v>165.16666666666669</v>
      </c>
      <c r="F174" s="549">
        <f>$E$174*'2324 Band Calculations'!D22</f>
        <v>19.613541666666666</v>
      </c>
      <c r="G174" s="549">
        <f>$E$174*'2324 Band Calculations'!E22</f>
        <v>35.09791666666667</v>
      </c>
      <c r="H174" s="549">
        <f>$E$174*'2324 Band Calculations'!F22</f>
        <v>2.0645833333333337</v>
      </c>
      <c r="I174" s="549">
        <f>$E$174*'2324 Band Calculations'!G22</f>
        <v>40.259375000000006</v>
      </c>
      <c r="J174" s="549">
        <f>$E$174*'2324 Band Calculations'!H22</f>
        <v>29.936458333333334</v>
      </c>
      <c r="K174" s="549">
        <f>$E$174*'2324 Band Calculations'!I22</f>
        <v>3.0968750000000003</v>
      </c>
      <c r="L174" s="169">
        <f>$E$174*'2324 Band Calculations'!J22</f>
        <v>35.09791666666667</v>
      </c>
      <c r="N174" s="7"/>
      <c r="R174" s="351"/>
    </row>
    <row r="175" spans="1:18" x14ac:dyDescent="0.25">
      <c r="A175" s="74">
        <v>9257016</v>
      </c>
      <c r="B175" t="str">
        <f t="shared" ref="B175:B178" si="86">CONCATENATE(A175,C175)</f>
        <v>9257016</v>
      </c>
      <c r="F175" s="170">
        <f t="shared" ref="F175:K175" si="87">F174-F173</f>
        <v>19.613541666666666</v>
      </c>
      <c r="G175" s="170">
        <f t="shared" si="87"/>
        <v>35.09791666666667</v>
      </c>
      <c r="H175" s="170">
        <f t="shared" si="87"/>
        <v>2.0645833333333337</v>
      </c>
      <c r="I175" s="170">
        <f t="shared" si="87"/>
        <v>40.259375000000006</v>
      </c>
      <c r="J175" s="170">
        <f t="shared" si="87"/>
        <v>29.936458333333334</v>
      </c>
      <c r="K175" s="170">
        <f t="shared" si="87"/>
        <v>3.0968750000000003</v>
      </c>
      <c r="R175" s="351"/>
    </row>
    <row r="176" spans="1:18" x14ac:dyDescent="0.25">
      <c r="A176" s="74">
        <v>9257016</v>
      </c>
      <c r="B176" t="str">
        <f t="shared" si="86"/>
        <v>9257016a</v>
      </c>
      <c r="C176" s="101" t="s">
        <v>349</v>
      </c>
      <c r="D176" s="101" t="s">
        <v>346</v>
      </c>
      <c r="F176" s="549">
        <f t="shared" ref="F176:K176" si="88">IF(F173&gt;F174,(F174),(F173))</f>
        <v>0</v>
      </c>
      <c r="G176" s="549">
        <f t="shared" si="88"/>
        <v>0</v>
      </c>
      <c r="H176" s="549">
        <f t="shared" si="88"/>
        <v>0</v>
      </c>
      <c r="I176" s="549">
        <f t="shared" si="88"/>
        <v>0</v>
      </c>
      <c r="J176" s="549">
        <f t="shared" si="88"/>
        <v>0</v>
      </c>
      <c r="K176" s="549">
        <f t="shared" si="88"/>
        <v>0</v>
      </c>
      <c r="L176" s="37"/>
      <c r="M176" s="7"/>
      <c r="O176" s="7"/>
      <c r="P176" s="7"/>
      <c r="R176" s="351"/>
    </row>
    <row r="177" spans="1:18" x14ac:dyDescent="0.25">
      <c r="A177" s="74"/>
      <c r="B177" t="s">
        <v>392</v>
      </c>
      <c r="C177" s="101" t="s">
        <v>306</v>
      </c>
      <c r="D177" s="101" t="s">
        <v>351</v>
      </c>
      <c r="F177" s="664">
        <f>'2223 MFG Protection'!F180</f>
        <v>0</v>
      </c>
      <c r="G177" s="664">
        <f>'2223 MFG Protection'!G180</f>
        <v>0</v>
      </c>
      <c r="H177" s="664">
        <f>'2223 MFG Protection'!H180</f>
        <v>0</v>
      </c>
      <c r="I177" s="664">
        <f>'2223 MFG Protection'!I180</f>
        <v>0</v>
      </c>
      <c r="J177" s="664">
        <f>'2223 MFG Protection'!J180</f>
        <v>0</v>
      </c>
      <c r="K177" s="664">
        <f>'2223 MFG Protection'!K180</f>
        <v>0</v>
      </c>
      <c r="L177" s="37"/>
      <c r="M177" s="7"/>
      <c r="O177" s="7"/>
      <c r="P177" s="7"/>
      <c r="R177" s="351"/>
    </row>
    <row r="178" spans="1:18" x14ac:dyDescent="0.25">
      <c r="A178" s="74">
        <v>9257016</v>
      </c>
      <c r="B178" t="str">
        <f t="shared" si="86"/>
        <v>9257016b</v>
      </c>
      <c r="C178" s="101" t="s">
        <v>353</v>
      </c>
      <c r="D178" s="101" t="s">
        <v>354</v>
      </c>
      <c r="F178" s="671">
        <v>0</v>
      </c>
      <c r="G178" s="671">
        <v>0</v>
      </c>
      <c r="H178" s="671">
        <v>0</v>
      </c>
      <c r="I178" s="671">
        <v>0</v>
      </c>
      <c r="J178" s="671">
        <v>0</v>
      </c>
      <c r="K178" s="671">
        <v>0</v>
      </c>
      <c r="L178" s="37"/>
      <c r="M178" s="7"/>
      <c r="R178" s="351"/>
    </row>
    <row r="179" spans="1:18" x14ac:dyDescent="0.25">
      <c r="A179" s="74"/>
      <c r="B179" t="s">
        <v>393</v>
      </c>
      <c r="C179" s="101" t="s">
        <v>312</v>
      </c>
      <c r="D179" s="101" t="s">
        <v>351</v>
      </c>
      <c r="F179" s="550">
        <f>IF(F177-F178&gt;0,(F177-F178),(0))</f>
        <v>0</v>
      </c>
      <c r="G179" s="550">
        <f t="shared" ref="G179:K179" si="89">IF(G177-G178&gt;0,(G177-G178),(0))</f>
        <v>0</v>
      </c>
      <c r="H179" s="550">
        <f t="shared" si="89"/>
        <v>0</v>
      </c>
      <c r="I179" s="550">
        <f t="shared" si="89"/>
        <v>0</v>
      </c>
      <c r="J179" s="550">
        <f t="shared" si="89"/>
        <v>0</v>
      </c>
      <c r="K179" s="550">
        <f t="shared" si="89"/>
        <v>0</v>
      </c>
      <c r="L179" s="37"/>
      <c r="M179" s="7"/>
      <c r="R179" s="351"/>
    </row>
    <row r="180" spans="1:18" x14ac:dyDescent="0.25">
      <c r="A180" s="74">
        <v>9257016</v>
      </c>
      <c r="B180" t="str">
        <f>CONCATENATE(A180,C180)</f>
        <v>9257016c</v>
      </c>
      <c r="C180" s="101" t="s">
        <v>357</v>
      </c>
      <c r="D180" s="101" t="s">
        <v>217</v>
      </c>
      <c r="F180" s="7">
        <f t="shared" ref="F180:K180" si="90">IF(F179&lt;0,0,(F179*F176))</f>
        <v>0</v>
      </c>
      <c r="G180" s="7">
        <f t="shared" si="90"/>
        <v>0</v>
      </c>
      <c r="H180" s="7">
        <f t="shared" si="90"/>
        <v>0</v>
      </c>
      <c r="I180" s="7">
        <f t="shared" si="90"/>
        <v>0</v>
      </c>
      <c r="J180" s="7">
        <f t="shared" si="90"/>
        <v>0</v>
      </c>
      <c r="K180" s="7">
        <f t="shared" si="90"/>
        <v>0</v>
      </c>
      <c r="L180" s="141">
        <f>SUM(F180:K180)</f>
        <v>0</v>
      </c>
      <c r="M180" s="140">
        <f>L180-O173</f>
        <v>0</v>
      </c>
      <c r="R180" s="351"/>
    </row>
    <row r="181" spans="1:18" x14ac:dyDescent="0.25">
      <c r="A181" s="78"/>
      <c r="C181" s="101"/>
      <c r="D181" s="101" t="s">
        <v>401</v>
      </c>
      <c r="F181" s="670">
        <v>0</v>
      </c>
      <c r="G181" s="670">
        <v>0</v>
      </c>
      <c r="H181" s="670">
        <v>0</v>
      </c>
      <c r="I181" s="670">
        <v>0</v>
      </c>
      <c r="J181" s="670">
        <v>0</v>
      </c>
      <c r="K181" s="670">
        <v>0</v>
      </c>
      <c r="L181" s="141"/>
      <c r="M181" s="140"/>
      <c r="R181" s="351"/>
    </row>
    <row r="182" spans="1:18" x14ac:dyDescent="0.25">
      <c r="A182" s="171"/>
      <c r="B182" s="171"/>
      <c r="C182" s="171"/>
      <c r="D182" s="171"/>
      <c r="E182" s="172"/>
      <c r="F182" s="173"/>
      <c r="G182" s="173"/>
      <c r="H182" s="173"/>
      <c r="I182" s="173"/>
      <c r="J182" s="173"/>
      <c r="K182" s="173"/>
      <c r="L182" s="173"/>
      <c r="M182" s="173"/>
      <c r="N182" s="172"/>
      <c r="O182" s="172"/>
      <c r="P182" s="172"/>
      <c r="Q182" s="172"/>
    </row>
    <row r="184" spans="1:18" x14ac:dyDescent="0.25">
      <c r="E184"/>
      <c r="F184"/>
      <c r="G184"/>
      <c r="H184"/>
      <c r="I184"/>
      <c r="J184" s="109" t="s">
        <v>394</v>
      </c>
      <c r="K184"/>
      <c r="L184" s="141">
        <f>L11+L21+L31+L50+L60+L70+L80+L90+L100+L110+L120+L130+L140+L150+L160+L170+L180</f>
        <v>91320.990562931634</v>
      </c>
      <c r="M184"/>
      <c r="N184"/>
      <c r="O184"/>
      <c r="P184"/>
      <c r="Q184"/>
      <c r="R184"/>
    </row>
    <row r="186" spans="1:18" x14ac:dyDescent="0.25">
      <c r="J186" s="109" t="s">
        <v>395</v>
      </c>
      <c r="L186" s="7">
        <f>'2223 MFG Protection'!L185</f>
        <v>91355.174520499058</v>
      </c>
    </row>
    <row r="188" spans="1:18" x14ac:dyDescent="0.25">
      <c r="J188" s="109" t="s">
        <v>396</v>
      </c>
      <c r="L188" s="7">
        <f>L184-L186</f>
        <v>-34.183957567423931</v>
      </c>
      <c r="M188" s="33" t="s">
        <v>397</v>
      </c>
    </row>
  </sheetData>
  <conditionalFormatting sqref="L188">
    <cfRule type="cellIs" dxfId="2" priority="1"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BA00D-8E3E-4787-A945-A236B46D838B}">
  <sheetPr>
    <tabColor theme="8" tint="0.39997558519241921"/>
  </sheetPr>
  <dimension ref="A3:Y188"/>
  <sheetViews>
    <sheetView topLeftCell="A150" workbookViewId="0">
      <selection activeCell="U23" sqref="U23"/>
    </sheetView>
  </sheetViews>
  <sheetFormatPr defaultRowHeight="12.5" x14ac:dyDescent="0.25"/>
  <cols>
    <col min="2" max="2" width="25.54296875" bestFit="1" customWidth="1"/>
    <col min="4" max="4" width="18.7265625" customWidth="1"/>
    <col min="5" max="5" width="8.7265625" style="2" bestFit="1"/>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60</v>
      </c>
      <c r="E3" s="2" t="s">
        <v>34</v>
      </c>
      <c r="F3" s="2" t="s">
        <v>229</v>
      </c>
      <c r="G3" s="2" t="s">
        <v>230</v>
      </c>
      <c r="H3" s="2" t="s">
        <v>345</v>
      </c>
      <c r="I3" s="2" t="s">
        <v>232</v>
      </c>
      <c r="J3" s="2" t="s">
        <v>233</v>
      </c>
      <c r="K3" s="2" t="s">
        <v>234</v>
      </c>
      <c r="L3" s="2" t="s">
        <v>235</v>
      </c>
      <c r="R3"/>
      <c r="T3" s="552"/>
      <c r="U3" s="552"/>
    </row>
    <row r="4" spans="1:25" ht="13" x14ac:dyDescent="0.3">
      <c r="A4" s="999">
        <v>9257010</v>
      </c>
      <c r="B4" t="str">
        <f>CONCATENATE(A4,C4)</f>
        <v>92570102022/23</v>
      </c>
      <c r="C4" s="667" t="s">
        <v>306</v>
      </c>
      <c r="D4" t="s">
        <v>346</v>
      </c>
      <c r="E4" s="37">
        <f>SUM(F4:K4)</f>
        <v>21.980621693121694</v>
      </c>
      <c r="F4" s="670">
        <f>'2223 MFG Protection'!F12</f>
        <v>1.3597883597883598</v>
      </c>
      <c r="G4" s="670">
        <f>'2223 MFG Protection'!G12</f>
        <v>20.620833333333334</v>
      </c>
      <c r="H4" s="670">
        <f>'2223 MFG Protection'!H12</f>
        <v>0</v>
      </c>
      <c r="I4" s="670">
        <f>'2223 MFG Protection'!I12</f>
        <v>0</v>
      </c>
      <c r="J4" s="670">
        <f>'2223 MFG Protection'!J12</f>
        <v>0</v>
      </c>
      <c r="K4" s="670">
        <f>'2223 MFG Protection'!K12</f>
        <v>0</v>
      </c>
      <c r="L4" s="37"/>
      <c r="N4" s="7"/>
      <c r="O4" s="140">
        <f>'2223 MFG Protection'!L11</f>
        <v>2325.8415308553208</v>
      </c>
      <c r="P4" s="1000" t="s">
        <v>347</v>
      </c>
      <c r="R4" s="354"/>
      <c r="T4" s="553" t="s">
        <v>348</v>
      </c>
      <c r="U4" s="552"/>
      <c r="V4" s="58"/>
      <c r="W4" s="58"/>
      <c r="X4" s="58"/>
      <c r="Y4" s="58"/>
    </row>
    <row r="5" spans="1:25" ht="12.75" customHeight="1" x14ac:dyDescent="0.25">
      <c r="A5" s="999">
        <v>9257010</v>
      </c>
      <c r="B5" t="str">
        <f>CONCATENATE(A5,C5)</f>
        <v>92570102023/24</v>
      </c>
      <c r="C5" t="s">
        <v>312</v>
      </c>
      <c r="E5" s="37">
        <f>VLOOKUP(A5,'2324 Funding Detail'!$A$4:$M$20,13,(FALSE))</f>
        <v>139.33333333333334</v>
      </c>
      <c r="F5" s="549">
        <f>$E$5*'2324 Band Calculations'!D6</f>
        <v>14.961968680089486</v>
      </c>
      <c r="G5" s="549">
        <f>$E$5*'2324 Band Calculations'!E6</f>
        <v>62.653243847874727</v>
      </c>
      <c r="H5" s="549">
        <f>$E$5*'2324 Band Calculations'!F6</f>
        <v>8.4161073825503365</v>
      </c>
      <c r="I5" s="549">
        <f>$E$5*'2324 Band Calculations'!G6</f>
        <v>22.44295302013423</v>
      </c>
      <c r="J5" s="549">
        <f>$E$5*'2324 Band Calculations'!H6</f>
        <v>10.286353467561522</v>
      </c>
      <c r="K5" s="549">
        <f>$E$5*'2324 Band Calculations'!I6</f>
        <v>9.3512304250559293</v>
      </c>
      <c r="L5" s="169">
        <f>$E$5*'2324 Band Calculations'!J6</f>
        <v>11.221476510067115</v>
      </c>
      <c r="N5" s="7"/>
      <c r="O5" s="7"/>
      <c r="P5" s="7"/>
      <c r="R5" s="354"/>
      <c r="T5" s="554"/>
      <c r="U5" s="554"/>
      <c r="V5" s="551"/>
      <c r="W5" s="551"/>
      <c r="X5" s="551"/>
      <c r="Y5" s="551"/>
    </row>
    <row r="6" spans="1:25" x14ac:dyDescent="0.25">
      <c r="A6" s="999">
        <v>9257010</v>
      </c>
      <c r="B6" t="str">
        <f>CONCATENATE(A6,C6)</f>
        <v>9257010</v>
      </c>
      <c r="F6" s="170">
        <f t="shared" ref="F6:K6" si="0">F5-F4</f>
        <v>13.602180320301127</v>
      </c>
      <c r="G6" s="170">
        <f t="shared" si="0"/>
        <v>42.032410514541397</v>
      </c>
      <c r="H6" s="170">
        <f t="shared" si="0"/>
        <v>8.4161073825503365</v>
      </c>
      <c r="I6" s="170">
        <f t="shared" si="0"/>
        <v>22.44295302013423</v>
      </c>
      <c r="J6" s="170">
        <f t="shared" si="0"/>
        <v>10.286353467561522</v>
      </c>
      <c r="K6" s="170">
        <f t="shared" si="0"/>
        <v>9.3512304250559293</v>
      </c>
      <c r="N6" s="7"/>
      <c r="O6" s="7"/>
      <c r="P6" s="7"/>
      <c r="R6" s="354"/>
      <c r="T6" s="554"/>
      <c r="U6" s="554"/>
      <c r="V6" s="551"/>
      <c r="W6" s="551"/>
      <c r="X6" s="551"/>
      <c r="Y6" s="551"/>
    </row>
    <row r="7" spans="1:25" x14ac:dyDescent="0.25">
      <c r="A7" s="999">
        <v>9257010</v>
      </c>
      <c r="B7" t="str">
        <f>CONCATENATE(A7,C7)</f>
        <v>9257010a</v>
      </c>
      <c r="C7" t="s">
        <v>349</v>
      </c>
      <c r="D7" t="s">
        <v>346</v>
      </c>
      <c r="F7" s="549">
        <f t="shared" ref="F7:K7" si="1">IF(F4&gt;F5,(F5),(F4))</f>
        <v>1.3597883597883598</v>
      </c>
      <c r="G7" s="549">
        <f t="shared" si="1"/>
        <v>20.620833333333334</v>
      </c>
      <c r="H7" s="549">
        <f t="shared" si="1"/>
        <v>0</v>
      </c>
      <c r="I7" s="549">
        <f t="shared" si="1"/>
        <v>0</v>
      </c>
      <c r="J7" s="549">
        <f t="shared" si="1"/>
        <v>0</v>
      </c>
      <c r="K7" s="549">
        <f t="shared" si="1"/>
        <v>0</v>
      </c>
      <c r="L7" s="37"/>
      <c r="M7" s="7"/>
      <c r="N7" s="7"/>
      <c r="O7" s="7"/>
      <c r="P7" s="7"/>
      <c r="R7" s="354"/>
      <c r="T7" s="554"/>
      <c r="U7" s="554"/>
      <c r="V7" s="551"/>
      <c r="W7" s="551"/>
      <c r="X7" s="551"/>
      <c r="Y7" s="551"/>
    </row>
    <row r="8" spans="1:25" x14ac:dyDescent="0.25">
      <c r="A8" s="999">
        <v>9257010</v>
      </c>
      <c r="B8" t="s">
        <v>350</v>
      </c>
      <c r="C8" t="s">
        <v>306</v>
      </c>
      <c r="D8" t="s">
        <v>351</v>
      </c>
      <c r="F8" s="664">
        <f>'2223 MFG Protection'!F10</f>
        <v>144.97644559903938</v>
      </c>
      <c r="G8" s="664">
        <f>'2223 MFG Protection'!G10</f>
        <v>103.23075761662994</v>
      </c>
      <c r="H8" s="664">
        <f>'2223 MFG Protection'!H10</f>
        <v>0</v>
      </c>
      <c r="I8" s="664">
        <f>'2223 MFG Protection'!I10</f>
        <v>0</v>
      </c>
      <c r="J8" s="664">
        <f>'2223 MFG Protection'!J10</f>
        <v>0</v>
      </c>
      <c r="K8" s="664">
        <f>'2223 MFG Protection'!K10</f>
        <v>0</v>
      </c>
      <c r="L8" s="37"/>
      <c r="M8" s="1000" t="s">
        <v>352</v>
      </c>
      <c r="N8" s="7"/>
      <c r="O8" s="7"/>
      <c r="P8" s="7"/>
      <c r="R8" s="354"/>
      <c r="T8" s="547"/>
      <c r="U8" s="547"/>
      <c r="V8" s="547"/>
      <c r="W8" s="547"/>
      <c r="X8" s="547"/>
      <c r="Y8" s="547"/>
    </row>
    <row r="9" spans="1:25" x14ac:dyDescent="0.25">
      <c r="A9" s="999">
        <v>9257010</v>
      </c>
      <c r="B9" t="str">
        <f>CONCATENATE(A9,C9)</f>
        <v>9257010b</v>
      </c>
      <c r="C9" t="s">
        <v>353</v>
      </c>
      <c r="D9" t="s">
        <v>354</v>
      </c>
      <c r="F9" s="664">
        <v>103</v>
      </c>
      <c r="G9" s="664">
        <v>102</v>
      </c>
      <c r="H9" s="664">
        <v>468</v>
      </c>
      <c r="I9" s="664">
        <v>500</v>
      </c>
      <c r="J9" s="664">
        <v>500</v>
      </c>
      <c r="K9" s="664">
        <v>363</v>
      </c>
      <c r="L9" s="37"/>
      <c r="M9" s="1000" t="s">
        <v>355</v>
      </c>
      <c r="R9" s="354"/>
    </row>
    <row r="10" spans="1:25" x14ac:dyDescent="0.25">
      <c r="A10" s="999">
        <v>9257010</v>
      </c>
      <c r="B10" t="s">
        <v>356</v>
      </c>
      <c r="C10" t="s">
        <v>312</v>
      </c>
      <c r="D10" t="s">
        <v>351</v>
      </c>
      <c r="F10" s="140">
        <f t="shared" ref="F10:K10" si="2">IF(F8-F9&gt;0,(F8-F9),(0))</f>
        <v>41.97644559903938</v>
      </c>
      <c r="G10" s="140">
        <f t="shared" si="2"/>
        <v>1.2307576166299441</v>
      </c>
      <c r="H10" s="140">
        <f t="shared" si="2"/>
        <v>0</v>
      </c>
      <c r="I10" s="140">
        <f t="shared" si="2"/>
        <v>0</v>
      </c>
      <c r="J10" s="140">
        <f t="shared" si="2"/>
        <v>0</v>
      </c>
      <c r="K10" s="140">
        <f t="shared" si="2"/>
        <v>0</v>
      </c>
      <c r="L10" s="37"/>
      <c r="M10" s="1000"/>
      <c r="R10" s="354"/>
    </row>
    <row r="11" spans="1:25" x14ac:dyDescent="0.25">
      <c r="A11" s="999">
        <v>9257010</v>
      </c>
      <c r="B11" t="str">
        <f>CONCATENATE(A11,C11)</f>
        <v>9257010c</v>
      </c>
      <c r="C11" t="s">
        <v>357</v>
      </c>
      <c r="D11" t="s">
        <v>217</v>
      </c>
      <c r="F11" s="7">
        <f t="shared" ref="F11:K11" si="3">IF(F10&lt;0,0,(F10*F7))</f>
        <v>57.079082110863069</v>
      </c>
      <c r="G11" s="7">
        <f t="shared" si="3"/>
        <v>25.37924768625664</v>
      </c>
      <c r="H11" s="7">
        <f t="shared" si="3"/>
        <v>0</v>
      </c>
      <c r="I11" s="7">
        <f t="shared" si="3"/>
        <v>0</v>
      </c>
      <c r="J11" s="7">
        <f t="shared" si="3"/>
        <v>0</v>
      </c>
      <c r="K11" s="7">
        <f t="shared" si="3"/>
        <v>0</v>
      </c>
      <c r="L11" s="141">
        <f>SUM(F11:K11)</f>
        <v>82.458329797119717</v>
      </c>
      <c r="M11" s="140">
        <f>L11-O4</f>
        <v>-2243.3832010582009</v>
      </c>
      <c r="R11" s="354"/>
    </row>
    <row r="12" spans="1:25" x14ac:dyDescent="0.25">
      <c r="A12" s="999"/>
      <c r="D12" t="s">
        <v>401</v>
      </c>
      <c r="F12" s="670">
        <v>1.3597883597883598</v>
      </c>
      <c r="G12" s="670">
        <v>20.620833333333334</v>
      </c>
      <c r="H12" s="670">
        <v>0</v>
      </c>
      <c r="I12" s="670">
        <v>0</v>
      </c>
      <c r="J12" s="670">
        <v>0</v>
      </c>
      <c r="K12" s="670">
        <v>0</v>
      </c>
      <c r="L12" s="7"/>
      <c r="M12" s="7"/>
      <c r="R12" s="354"/>
    </row>
    <row r="13" spans="1:25" x14ac:dyDescent="0.25">
      <c r="A13" s="1001"/>
      <c r="B13" s="1002" t="s">
        <v>63</v>
      </c>
      <c r="C13" s="174"/>
      <c r="D13" s="174"/>
      <c r="E13" s="175"/>
      <c r="F13" s="176"/>
      <c r="G13" s="176"/>
      <c r="H13" s="176"/>
      <c r="I13" s="176"/>
      <c r="J13" s="176"/>
      <c r="K13" s="176"/>
      <c r="L13" s="176"/>
      <c r="M13" s="175"/>
      <c r="N13" s="175"/>
      <c r="O13" s="175"/>
      <c r="P13" s="175"/>
      <c r="Q13" s="175"/>
      <c r="R13"/>
    </row>
    <row r="14" spans="1:25" x14ac:dyDescent="0.25">
      <c r="A14" s="999">
        <v>9257005</v>
      </c>
      <c r="B14" t="str">
        <f>CONCATENATE(A14,C14)</f>
        <v>92570052022/23</v>
      </c>
      <c r="C14" s="667" t="s">
        <v>306</v>
      </c>
      <c r="D14" t="s">
        <v>346</v>
      </c>
      <c r="E14" s="37">
        <f>SUM(F14:K14)</f>
        <v>0</v>
      </c>
      <c r="F14" s="670">
        <f>'2223 MFG Protection'!F22</f>
        <v>0</v>
      </c>
      <c r="G14" s="670">
        <f>'2223 MFG Protection'!G22</f>
        <v>0</v>
      </c>
      <c r="H14" s="670">
        <f>'2223 MFG Protection'!H22</f>
        <v>0</v>
      </c>
      <c r="I14" s="670">
        <f>'2223 MFG Protection'!I22</f>
        <v>0</v>
      </c>
      <c r="J14" s="670">
        <f>'2223 MFG Protection'!J22</f>
        <v>0</v>
      </c>
      <c r="K14" s="670">
        <f>'2223 MFG Protection'!K22</f>
        <v>0</v>
      </c>
      <c r="L14" s="37"/>
      <c r="N14" s="7"/>
      <c r="O14" s="140">
        <f>'2223 MFG Protection'!L21</f>
        <v>0</v>
      </c>
      <c r="P14" s="7"/>
      <c r="R14" s="354"/>
    </row>
    <row r="15" spans="1:25" x14ac:dyDescent="0.25">
      <c r="A15" s="999">
        <v>9257005</v>
      </c>
      <c r="B15" t="str">
        <f>CONCATENATE(A15,C15)</f>
        <v>92570052023/24</v>
      </c>
      <c r="C15" t="s">
        <v>312</v>
      </c>
      <c r="D15" t="str">
        <f>CONCATENATE(A15,C15)</f>
        <v>92570052023/24</v>
      </c>
      <c r="E15" s="37">
        <f>VLOOKUP(A15,'2324 Funding Detail'!$A$4:$M$20,13,(FALSE))</f>
        <v>79.75</v>
      </c>
      <c r="F15" s="549">
        <f>$E$15*'2324 Band Calculations'!D6</f>
        <v>8.5637583892617446</v>
      </c>
      <c r="G15" s="549">
        <f>$E$15*'2324 Band Calculations'!E6</f>
        <v>35.86073825503356</v>
      </c>
      <c r="H15" s="549">
        <f>$E$15*'2324 Band Calculations'!F6</f>
        <v>4.8171140939597317</v>
      </c>
      <c r="I15" s="549">
        <f>$E$15*'2324 Band Calculations'!G6</f>
        <v>12.845637583892616</v>
      </c>
      <c r="J15" s="549">
        <f>$E$15*'2324 Band Calculations'!H6</f>
        <v>5.8875838926174504</v>
      </c>
      <c r="K15" s="549">
        <f>$E$15*'2324 Band Calculations'!I6</f>
        <v>5.352348993288591</v>
      </c>
      <c r="L15" s="169">
        <f>$E$15*'2324 Band Calculations'!J6</f>
        <v>6.422818791946308</v>
      </c>
      <c r="N15" s="7"/>
      <c r="O15" s="7"/>
      <c r="P15" s="7"/>
      <c r="R15" s="354"/>
    </row>
    <row r="16" spans="1:25" x14ac:dyDescent="0.25">
      <c r="A16" s="999">
        <v>9257005</v>
      </c>
      <c r="B16" t="str">
        <f>CONCATENATE(A16,C16)</f>
        <v>9257005</v>
      </c>
      <c r="E16" s="37"/>
      <c r="F16" s="170">
        <f t="shared" ref="F16:K16" si="4">F15-F14</f>
        <v>8.5637583892617446</v>
      </c>
      <c r="G16" s="170">
        <f t="shared" si="4"/>
        <v>35.86073825503356</v>
      </c>
      <c r="H16" s="170">
        <f t="shared" si="4"/>
        <v>4.8171140939597317</v>
      </c>
      <c r="I16" s="170">
        <f t="shared" si="4"/>
        <v>12.845637583892616</v>
      </c>
      <c r="J16" s="170">
        <f t="shared" si="4"/>
        <v>5.8875838926174504</v>
      </c>
      <c r="K16" s="170">
        <f t="shared" si="4"/>
        <v>5.352348993288591</v>
      </c>
      <c r="L16" s="169"/>
      <c r="N16" s="7"/>
      <c r="O16" s="7"/>
      <c r="P16" s="7"/>
      <c r="R16" s="354"/>
    </row>
    <row r="17" spans="1:18" x14ac:dyDescent="0.25">
      <c r="A17" s="999">
        <v>9257005</v>
      </c>
      <c r="B17" t="str">
        <f>CONCATENATE(A17,C17)</f>
        <v>9257005a</v>
      </c>
      <c r="C17" t="s">
        <v>349</v>
      </c>
      <c r="D17" t="s">
        <v>346</v>
      </c>
      <c r="F17" s="549">
        <f t="shared" ref="F17:K17" si="5">IF(F14&gt;F15,(F15),(F14))</f>
        <v>0</v>
      </c>
      <c r="G17" s="549">
        <f t="shared" si="5"/>
        <v>0</v>
      </c>
      <c r="H17" s="549">
        <f t="shared" si="5"/>
        <v>0</v>
      </c>
      <c r="I17" s="549">
        <f t="shared" si="5"/>
        <v>0</v>
      </c>
      <c r="J17" s="549">
        <f t="shared" si="5"/>
        <v>0</v>
      </c>
      <c r="K17" s="549">
        <f t="shared" si="5"/>
        <v>0</v>
      </c>
      <c r="L17" s="37"/>
      <c r="M17" s="7"/>
      <c r="N17" s="7"/>
      <c r="O17" s="7"/>
      <c r="P17" s="7"/>
      <c r="R17" s="354"/>
    </row>
    <row r="18" spans="1:18" x14ac:dyDescent="0.25">
      <c r="A18" s="999"/>
      <c r="B18" t="s">
        <v>358</v>
      </c>
      <c r="C18" t="s">
        <v>306</v>
      </c>
      <c r="D18" t="s">
        <v>351</v>
      </c>
      <c r="F18" s="664">
        <f>'2223 MFG Protection'!F20</f>
        <v>0</v>
      </c>
      <c r="G18" s="664">
        <f>'2223 MFG Protection'!G20</f>
        <v>0</v>
      </c>
      <c r="H18" s="664">
        <f>'2223 MFG Protection'!H20</f>
        <v>0</v>
      </c>
      <c r="I18" s="664">
        <f>'2223 MFG Protection'!I20</f>
        <v>0</v>
      </c>
      <c r="J18" s="664">
        <f>'2223 MFG Protection'!J20</f>
        <v>0</v>
      </c>
      <c r="K18" s="664">
        <f>'2223 MFG Protection'!K20</f>
        <v>0</v>
      </c>
      <c r="L18" s="37"/>
      <c r="M18" s="7"/>
      <c r="N18" s="7"/>
      <c r="O18" s="7"/>
      <c r="P18" s="7"/>
      <c r="R18" s="354"/>
    </row>
    <row r="19" spans="1:18" x14ac:dyDescent="0.25">
      <c r="A19" s="999">
        <v>9257005</v>
      </c>
      <c r="B19" t="str">
        <f>CONCATENATE(A19,C19)</f>
        <v>9257005b</v>
      </c>
      <c r="C19" t="s">
        <v>353</v>
      </c>
      <c r="D19" t="s">
        <v>354</v>
      </c>
      <c r="F19" s="664">
        <v>103</v>
      </c>
      <c r="G19" s="664">
        <v>102</v>
      </c>
      <c r="H19" s="664">
        <v>468</v>
      </c>
      <c r="I19" s="664">
        <v>500</v>
      </c>
      <c r="J19" s="664">
        <v>500</v>
      </c>
      <c r="K19" s="664">
        <v>363</v>
      </c>
      <c r="L19" s="37"/>
      <c r="M19" s="7"/>
      <c r="N19" s="7"/>
      <c r="O19" s="7"/>
      <c r="R19" s="354"/>
    </row>
    <row r="20" spans="1:18" x14ac:dyDescent="0.25">
      <c r="A20" s="999"/>
      <c r="B20" t="s">
        <v>359</v>
      </c>
      <c r="C20" t="s">
        <v>312</v>
      </c>
      <c r="D20" t="s">
        <v>351</v>
      </c>
      <c r="F20" s="140">
        <f t="shared" ref="F20:K20" si="6">IF(F18-F19&gt;0,(F18-F19),(0))</f>
        <v>0</v>
      </c>
      <c r="G20" s="140">
        <f t="shared" si="6"/>
        <v>0</v>
      </c>
      <c r="H20" s="140">
        <f t="shared" si="6"/>
        <v>0</v>
      </c>
      <c r="I20" s="140">
        <f t="shared" si="6"/>
        <v>0</v>
      </c>
      <c r="J20" s="140">
        <f t="shared" si="6"/>
        <v>0</v>
      </c>
      <c r="K20" s="140">
        <f t="shared" si="6"/>
        <v>0</v>
      </c>
      <c r="L20" s="37"/>
      <c r="M20" s="7"/>
      <c r="N20" s="7"/>
      <c r="O20" s="7"/>
      <c r="R20" s="354"/>
    </row>
    <row r="21" spans="1:18" x14ac:dyDescent="0.25">
      <c r="A21" s="999">
        <v>9257005</v>
      </c>
      <c r="B21" t="str">
        <f>CONCATENATE(A21,C21)</f>
        <v>9257005c</v>
      </c>
      <c r="C21" t="s">
        <v>357</v>
      </c>
      <c r="D21" t="s">
        <v>217</v>
      </c>
      <c r="F21" s="7">
        <f t="shared" ref="F21:K21" si="7">IF(F20&lt;0,0,(F20*F17))</f>
        <v>0</v>
      </c>
      <c r="G21" s="7">
        <f t="shared" si="7"/>
        <v>0</v>
      </c>
      <c r="H21" s="7">
        <f t="shared" si="7"/>
        <v>0</v>
      </c>
      <c r="I21" s="7">
        <f t="shared" si="7"/>
        <v>0</v>
      </c>
      <c r="J21" s="7">
        <f t="shared" si="7"/>
        <v>0</v>
      </c>
      <c r="K21" s="7">
        <f t="shared" si="7"/>
        <v>0</v>
      </c>
      <c r="L21" s="141">
        <f>SUM(F21:K21)</f>
        <v>0</v>
      </c>
      <c r="M21" s="140">
        <f>L21-O14</f>
        <v>0</v>
      </c>
      <c r="N21" s="7"/>
      <c r="O21" s="7"/>
      <c r="R21" s="354"/>
    </row>
    <row r="22" spans="1:18" x14ac:dyDescent="0.25">
      <c r="A22" s="999"/>
      <c r="D22" t="s">
        <v>401</v>
      </c>
      <c r="F22" s="670">
        <v>0</v>
      </c>
      <c r="G22" s="670">
        <v>0</v>
      </c>
      <c r="H22" s="670">
        <v>0</v>
      </c>
      <c r="I22" s="670">
        <v>0</v>
      </c>
      <c r="J22" s="670">
        <v>0</v>
      </c>
      <c r="K22" s="670">
        <v>0</v>
      </c>
      <c r="L22" s="7"/>
      <c r="M22" s="7"/>
      <c r="N22" s="7"/>
      <c r="O22" s="7"/>
      <c r="R22" s="354"/>
    </row>
    <row r="23" spans="1:18" x14ac:dyDescent="0.25">
      <c r="A23" s="1003"/>
      <c r="B23" s="1004" t="s">
        <v>64</v>
      </c>
      <c r="C23" s="171"/>
      <c r="D23" s="171"/>
      <c r="E23" s="172"/>
      <c r="F23" s="172"/>
      <c r="G23" s="172"/>
      <c r="H23" s="172"/>
      <c r="I23" s="172"/>
      <c r="J23" s="172"/>
      <c r="K23" s="172"/>
      <c r="L23" s="172"/>
      <c r="M23" s="172"/>
      <c r="N23" s="172"/>
      <c r="O23" s="172"/>
      <c r="P23" s="172"/>
      <c r="Q23" s="172"/>
      <c r="R23"/>
    </row>
    <row r="24" spans="1:18" x14ac:dyDescent="0.25">
      <c r="A24" s="999">
        <v>9257025</v>
      </c>
      <c r="B24" t="str">
        <f>CONCATENATE(A24,C24)</f>
        <v>92570252022/23</v>
      </c>
      <c r="C24" s="667" t="s">
        <v>306</v>
      </c>
      <c r="D24" t="s">
        <v>346</v>
      </c>
      <c r="E24" s="37">
        <f>SUM(F24:K24)</f>
        <v>32.986201391264686</v>
      </c>
      <c r="F24" s="673">
        <f>'2223 MFG Protection'!F32</f>
        <v>11.754219409282701</v>
      </c>
      <c r="G24" s="673">
        <f>'2223 MFG Protection'!G32</f>
        <v>21.231981981981988</v>
      </c>
      <c r="H24" s="673">
        <f>'2223 MFG Protection'!H32</f>
        <v>0</v>
      </c>
      <c r="I24" s="673">
        <f>'2223 MFG Protection'!I32</f>
        <v>0</v>
      </c>
      <c r="J24" s="673">
        <f>'2223 MFG Protection'!J32</f>
        <v>0</v>
      </c>
      <c r="K24" s="673">
        <f>'2223 MFG Protection'!K32</f>
        <v>0</v>
      </c>
      <c r="L24" s="169"/>
      <c r="N24" s="7"/>
      <c r="O24" s="140">
        <f>'2223 MFG Protection'!L31</f>
        <v>8581.1995982040153</v>
      </c>
      <c r="P24" s="7"/>
      <c r="R24" s="354"/>
    </row>
    <row r="25" spans="1:18" x14ac:dyDescent="0.25">
      <c r="A25" s="999">
        <v>9257025</v>
      </c>
      <c r="B25" t="str">
        <f>CONCATENATE(A25,C25)</f>
        <v>92570252023/24</v>
      </c>
      <c r="C25" t="s">
        <v>312</v>
      </c>
      <c r="D25" t="str">
        <f>CONCATENATE(A25,C25)</f>
        <v>92570252023/24</v>
      </c>
      <c r="E25" s="37">
        <f>VLOOKUP(A25,'2324 Funding Detail'!$A$4:$M$20,13,(FALSE))</f>
        <v>96</v>
      </c>
      <c r="F25" s="549">
        <f>$E$25*'2324 Band Calculations'!D8</f>
        <v>12.8</v>
      </c>
      <c r="G25" s="549">
        <f>$E$25*'2324 Band Calculations'!E8</f>
        <v>51.2</v>
      </c>
      <c r="H25" s="549">
        <f>$E$25*'2324 Band Calculations'!F8</f>
        <v>4.2666666666666666</v>
      </c>
      <c r="I25" s="549">
        <f>$E$25*'2324 Band Calculations'!G8</f>
        <v>10.666666666666666</v>
      </c>
      <c r="J25" s="549">
        <f>$E$25*'2324 Band Calculations'!H8</f>
        <v>1.0666666666666667</v>
      </c>
      <c r="K25" s="549">
        <f>$E$25*'2324 Band Calculations'!I8</f>
        <v>11.733333333333333</v>
      </c>
      <c r="L25" s="169">
        <f>$E$25*'2324 Band Calculations'!J8</f>
        <v>4.2666666666666666</v>
      </c>
      <c r="N25" s="7"/>
      <c r="O25" s="7"/>
      <c r="P25" s="7"/>
      <c r="R25" s="351"/>
    </row>
    <row r="26" spans="1:18" x14ac:dyDescent="0.25">
      <c r="A26" s="999">
        <v>9257025</v>
      </c>
      <c r="B26" t="str">
        <f>CONCATENATE(A26,C26)</f>
        <v>9257025</v>
      </c>
      <c r="E26" s="37"/>
      <c r="F26" s="170">
        <f t="shared" ref="F26:K26" si="8">F25-F24</f>
        <v>1.0457805907172997</v>
      </c>
      <c r="G26" s="170">
        <f t="shared" si="8"/>
        <v>29.968018018018014</v>
      </c>
      <c r="H26" s="170">
        <f t="shared" si="8"/>
        <v>4.2666666666666666</v>
      </c>
      <c r="I26" s="170">
        <f t="shared" si="8"/>
        <v>10.666666666666666</v>
      </c>
      <c r="J26" s="170">
        <f t="shared" si="8"/>
        <v>1.0666666666666667</v>
      </c>
      <c r="K26" s="170">
        <f t="shared" si="8"/>
        <v>11.733333333333333</v>
      </c>
      <c r="L26" s="169"/>
      <c r="N26" s="7"/>
      <c r="O26" s="7"/>
      <c r="P26" s="7"/>
      <c r="R26" s="351"/>
    </row>
    <row r="27" spans="1:18" x14ac:dyDescent="0.25">
      <c r="A27" s="999">
        <v>9257025</v>
      </c>
      <c r="B27" t="str">
        <f>CONCATENATE(A27,C27)</f>
        <v>9257025a</v>
      </c>
      <c r="C27" t="s">
        <v>349</v>
      </c>
      <c r="D27" t="s">
        <v>346</v>
      </c>
      <c r="F27" s="549">
        <f t="shared" ref="F27:K27" si="9">IF(F24&gt;F25,(F25),(F24))</f>
        <v>11.754219409282701</v>
      </c>
      <c r="G27" s="549">
        <f t="shared" si="9"/>
        <v>21.231981981981988</v>
      </c>
      <c r="H27" s="549">
        <f t="shared" si="9"/>
        <v>0</v>
      </c>
      <c r="I27" s="549">
        <f t="shared" si="9"/>
        <v>0</v>
      </c>
      <c r="J27" s="549">
        <f t="shared" si="9"/>
        <v>0</v>
      </c>
      <c r="K27" s="549">
        <f t="shared" si="9"/>
        <v>0</v>
      </c>
      <c r="L27" s="37"/>
      <c r="M27" s="7"/>
      <c r="N27" s="7"/>
      <c r="O27" s="7"/>
      <c r="P27" s="7"/>
      <c r="R27" s="351"/>
    </row>
    <row r="28" spans="1:18" x14ac:dyDescent="0.25">
      <c r="A28" s="999"/>
      <c r="B28" t="s">
        <v>360</v>
      </c>
      <c r="C28" t="s">
        <v>306</v>
      </c>
      <c r="D28" t="s">
        <v>351</v>
      </c>
      <c r="F28" s="664">
        <f>'2223 MFG Protection'!F30</f>
        <v>287.01526377569326</v>
      </c>
      <c r="G28" s="664">
        <f>'2223 MFG Protection'!G30</f>
        <v>245.26957579328382</v>
      </c>
      <c r="H28" s="664">
        <f>'2223 MFG Protection'!H30</f>
        <v>0</v>
      </c>
      <c r="I28" s="664">
        <f>'2223 MFG Protection'!I30</f>
        <v>0</v>
      </c>
      <c r="J28" s="664">
        <f>'2223 MFG Protection'!J30</f>
        <v>0</v>
      </c>
      <c r="K28" s="664">
        <f>'2223 MFG Protection'!K30</f>
        <v>0</v>
      </c>
      <c r="L28" s="37"/>
      <c r="M28" s="7"/>
      <c r="N28" s="7"/>
      <c r="O28" s="7"/>
      <c r="P28" s="7"/>
      <c r="R28" s="351"/>
    </row>
    <row r="29" spans="1:18" x14ac:dyDescent="0.25">
      <c r="A29" s="999">
        <v>9257025</v>
      </c>
      <c r="B29" t="str">
        <f>CONCATENATE(A29,C29)</f>
        <v>9257025b</v>
      </c>
      <c r="C29" t="s">
        <v>353</v>
      </c>
      <c r="D29" t="s">
        <v>354</v>
      </c>
      <c r="F29" s="664">
        <v>103</v>
      </c>
      <c r="G29" s="664">
        <v>102</v>
      </c>
      <c r="H29" s="664">
        <v>468</v>
      </c>
      <c r="I29" s="664">
        <v>500</v>
      </c>
      <c r="J29" s="664">
        <v>500</v>
      </c>
      <c r="K29" s="664">
        <v>363</v>
      </c>
      <c r="L29" s="37"/>
      <c r="M29" s="7"/>
      <c r="N29" s="7"/>
      <c r="O29" s="7"/>
      <c r="R29" s="351"/>
    </row>
    <row r="30" spans="1:18" x14ac:dyDescent="0.25">
      <c r="A30" s="999"/>
      <c r="B30" t="s">
        <v>361</v>
      </c>
      <c r="C30" t="s">
        <v>312</v>
      </c>
      <c r="D30" t="s">
        <v>351</v>
      </c>
      <c r="F30" s="140">
        <f t="shared" ref="F30:K30" si="10">IF(F28-F29&gt;0,(F28-F29),(0))</f>
        <v>184.01526377569326</v>
      </c>
      <c r="G30" s="140">
        <f t="shared" si="10"/>
        <v>143.26957579328382</v>
      </c>
      <c r="H30" s="140">
        <f t="shared" si="10"/>
        <v>0</v>
      </c>
      <c r="I30" s="140">
        <f t="shared" si="10"/>
        <v>0</v>
      </c>
      <c r="J30" s="140">
        <f t="shared" si="10"/>
        <v>0</v>
      </c>
      <c r="K30" s="140">
        <f t="shared" si="10"/>
        <v>0</v>
      </c>
      <c r="L30" s="37"/>
      <c r="M30" s="7"/>
      <c r="N30" s="7"/>
      <c r="O30" s="7"/>
      <c r="R30" s="351"/>
    </row>
    <row r="31" spans="1:18" x14ac:dyDescent="0.25">
      <c r="A31" s="999">
        <v>9257025</v>
      </c>
      <c r="B31" t="str">
        <f>CONCATENATE(A31,C31)</f>
        <v>9257025c</v>
      </c>
      <c r="C31" t="s">
        <v>357</v>
      </c>
      <c r="D31" t="s">
        <v>217</v>
      </c>
      <c r="F31" s="7">
        <f t="shared" ref="F31:K31" si="11">IF(F30&lt;0,0,(F30*F27))</f>
        <v>2162.9557850765295</v>
      </c>
      <c r="G31" s="7">
        <f t="shared" si="11"/>
        <v>3041.8970518092051</v>
      </c>
      <c r="H31" s="7">
        <f t="shared" si="11"/>
        <v>0</v>
      </c>
      <c r="I31" s="7">
        <f t="shared" si="11"/>
        <v>0</v>
      </c>
      <c r="J31" s="7">
        <f t="shared" si="11"/>
        <v>0</v>
      </c>
      <c r="K31" s="7">
        <f t="shared" si="11"/>
        <v>0</v>
      </c>
      <c r="L31" s="141">
        <f>SUM(F31:K31)</f>
        <v>5204.8528368857351</v>
      </c>
      <c r="M31" s="140">
        <f>L31-O24</f>
        <v>-3376.3467613182802</v>
      </c>
      <c r="N31" s="7"/>
      <c r="O31" s="7"/>
      <c r="R31" s="351"/>
    </row>
    <row r="32" spans="1:18" hidden="1" x14ac:dyDescent="0.25">
      <c r="A32" s="1003"/>
      <c r="B32" s="1004" t="s">
        <v>65</v>
      </c>
      <c r="C32" s="171"/>
      <c r="D32" s="171"/>
      <c r="E32" s="172"/>
      <c r="F32" s="172"/>
      <c r="G32" s="172"/>
      <c r="H32" s="172"/>
      <c r="I32" s="172"/>
      <c r="J32" s="172"/>
      <c r="K32" s="172"/>
      <c r="L32" s="172"/>
      <c r="M32" s="172"/>
      <c r="N32" s="172"/>
      <c r="O32" s="172"/>
      <c r="P32" s="172"/>
      <c r="Q32" s="172"/>
    </row>
    <row r="33" spans="1:18" hidden="1" x14ac:dyDescent="0.25">
      <c r="A33" s="999">
        <v>9257011</v>
      </c>
      <c r="B33" t="str">
        <f>CONCATENATE(A33,C33)</f>
        <v>92570112021/22</v>
      </c>
      <c r="C33" t="s">
        <v>305</v>
      </c>
      <c r="D33" t="s">
        <v>346</v>
      </c>
      <c r="E33" s="37" t="e">
        <f>SUM(#REF!)</f>
        <v>#REF!</v>
      </c>
      <c r="F33" s="548" t="e">
        <f>SUM(#REF!)</f>
        <v>#REF!</v>
      </c>
      <c r="G33" s="548" t="e">
        <f>SUM(#REF!)</f>
        <v>#REF!</v>
      </c>
      <c r="H33" s="548" t="e">
        <f>SUM(#REF!)</f>
        <v>#REF!</v>
      </c>
      <c r="I33" s="548" t="e">
        <f>SUM(#REF!)</f>
        <v>#REF!</v>
      </c>
      <c r="J33" s="548" t="e">
        <f>SUM(#REF!)</f>
        <v>#REF!</v>
      </c>
      <c r="K33" s="548" t="e">
        <f>SUM(#REF!)</f>
        <v>#REF!</v>
      </c>
      <c r="L33" s="37" t="e">
        <f>SUM(#REF!)</f>
        <v>#REF!</v>
      </c>
      <c r="N33" s="7"/>
      <c r="O33" s="140" t="e">
        <f>#REF!</f>
        <v>#REF!</v>
      </c>
      <c r="P33" s="7"/>
      <c r="R33" s="351"/>
    </row>
    <row r="34" spans="1:18" hidden="1" x14ac:dyDescent="0.25">
      <c r="A34" s="999">
        <v>9257011</v>
      </c>
      <c r="B34" t="str">
        <f>CONCATENATE(A34,C34)</f>
        <v>92570112023/24</v>
      </c>
      <c r="C34" t="s">
        <v>312</v>
      </c>
      <c r="D34" t="str">
        <f>CONCATENATE(A34,C34)</f>
        <v>92570112023/24</v>
      </c>
      <c r="E34" s="37" t="e">
        <f>VLOOKUP(A34,'2223 Funding Detail'!$A$4:$M$20,13,(FALSE))</f>
        <v>#N/A</v>
      </c>
      <c r="F34" s="549" t="e">
        <f>$E$34*'2223 Band Calculations'!#REF!</f>
        <v>#N/A</v>
      </c>
      <c r="G34" s="549" t="e">
        <f>$E$34*'2223 Band Calculations'!#REF!</f>
        <v>#N/A</v>
      </c>
      <c r="H34" s="549" t="e">
        <f>$E$34*'2223 Band Calculations'!#REF!</f>
        <v>#N/A</v>
      </c>
      <c r="I34" s="549" t="e">
        <f>$E$34*'2223 Band Calculations'!#REF!</f>
        <v>#N/A</v>
      </c>
      <c r="J34" s="549" t="e">
        <f>$E$34*'2223 Band Calculations'!#REF!</f>
        <v>#N/A</v>
      </c>
      <c r="K34" s="549" t="e">
        <f>$E$34*'2223 Band Calculations'!#REF!</f>
        <v>#N/A</v>
      </c>
      <c r="L34" s="169" t="e">
        <f>$E$34*'2223 Band Calculations'!#REF!</f>
        <v>#N/A</v>
      </c>
      <c r="N34" s="7"/>
      <c r="O34" s="7"/>
      <c r="P34" s="7"/>
      <c r="R34" s="351"/>
    </row>
    <row r="35" spans="1:18" hidden="1" x14ac:dyDescent="0.25">
      <c r="A35" s="999">
        <v>9257011</v>
      </c>
      <c r="B35" t="str">
        <f>CONCATENATE(A35,C35)</f>
        <v>9257011</v>
      </c>
      <c r="F35" s="170" t="e">
        <f t="shared" ref="F35:K35" si="12">F34-F33</f>
        <v>#N/A</v>
      </c>
      <c r="G35" s="170" t="e">
        <f t="shared" si="12"/>
        <v>#N/A</v>
      </c>
      <c r="H35" s="170" t="e">
        <f t="shared" si="12"/>
        <v>#N/A</v>
      </c>
      <c r="I35" s="170" t="e">
        <f t="shared" si="12"/>
        <v>#N/A</v>
      </c>
      <c r="J35" s="170" t="e">
        <f t="shared" si="12"/>
        <v>#N/A</v>
      </c>
      <c r="K35" s="170" t="e">
        <f t="shared" si="12"/>
        <v>#N/A</v>
      </c>
      <c r="L35" s="169"/>
      <c r="N35" s="7"/>
      <c r="O35" s="7"/>
      <c r="P35" s="7"/>
      <c r="R35" s="351"/>
    </row>
    <row r="36" spans="1:18" hidden="1" x14ac:dyDescent="0.25">
      <c r="A36" s="999">
        <v>9257011</v>
      </c>
      <c r="B36" t="str">
        <f>CONCATENATE(A36,C36)</f>
        <v>9257011a</v>
      </c>
      <c r="C36" t="s">
        <v>349</v>
      </c>
      <c r="D36" t="s">
        <v>346</v>
      </c>
      <c r="F36" s="549" t="e">
        <f t="shared" ref="F36:K36" si="13">IF(F33&gt;F34,(F34),(F33))</f>
        <v>#REF!</v>
      </c>
      <c r="G36" s="549" t="e">
        <f t="shared" si="13"/>
        <v>#REF!</v>
      </c>
      <c r="H36" s="549" t="e">
        <f t="shared" si="13"/>
        <v>#REF!</v>
      </c>
      <c r="I36" s="549" t="e">
        <f t="shared" si="13"/>
        <v>#REF!</v>
      </c>
      <c r="J36" s="549" t="e">
        <f t="shared" si="13"/>
        <v>#REF!</v>
      </c>
      <c r="K36" s="549" t="e">
        <f t="shared" si="13"/>
        <v>#REF!</v>
      </c>
      <c r="L36" s="37"/>
      <c r="M36" s="7"/>
      <c r="N36" s="7"/>
      <c r="O36" s="7"/>
      <c r="P36" s="7"/>
      <c r="R36" s="351"/>
    </row>
    <row r="37" spans="1:18" hidden="1" x14ac:dyDescent="0.25">
      <c r="A37" s="999"/>
      <c r="B37" t="s">
        <v>362</v>
      </c>
      <c r="C37" t="s">
        <v>305</v>
      </c>
      <c r="D37" t="s">
        <v>351</v>
      </c>
      <c r="F37" s="140" t="e">
        <f>SUM(#REF!)</f>
        <v>#REF!</v>
      </c>
      <c r="G37" s="140" t="e">
        <f>SUM(#REF!)</f>
        <v>#REF!</v>
      </c>
      <c r="H37" s="140" t="e">
        <f>SUM(#REF!)</f>
        <v>#REF!</v>
      </c>
      <c r="I37" s="140" t="e">
        <f>SUM(#REF!)</f>
        <v>#REF!</v>
      </c>
      <c r="J37" s="140" t="e">
        <f>SUM(#REF!)</f>
        <v>#REF!</v>
      </c>
      <c r="K37" s="140" t="e">
        <f>SUM(#REF!)</f>
        <v>#REF!</v>
      </c>
      <c r="L37" s="37"/>
      <c r="M37" s="7"/>
      <c r="N37" s="7"/>
      <c r="O37" s="7"/>
      <c r="P37" s="7"/>
      <c r="R37" s="351"/>
    </row>
    <row r="38" spans="1:18" hidden="1" x14ac:dyDescent="0.25">
      <c r="A38" s="999">
        <v>9257011</v>
      </c>
      <c r="B38" t="str">
        <f>CONCATENATE(A38,C38)</f>
        <v>9257011b</v>
      </c>
      <c r="C38" t="s">
        <v>353</v>
      </c>
      <c r="D38" t="s">
        <v>354</v>
      </c>
      <c r="F38" s="140" t="e">
        <f>'2223 Band Values'!$BN$11</f>
        <v>#REF!</v>
      </c>
      <c r="G38" s="140" t="e">
        <f>'2223 Band Values'!$BN$8</f>
        <v>#REF!</v>
      </c>
      <c r="H38" s="140" t="e">
        <f>'2223 Band Values'!$BN$28</f>
        <v>#REF!</v>
      </c>
      <c r="I38" s="140" t="e">
        <f>'2223 Band Values'!$BN$5</f>
        <v>#REF!</v>
      </c>
      <c r="J38" s="140" t="e">
        <f>'2223 Band Values'!$BN$14</f>
        <v>#REF!</v>
      </c>
      <c r="K38" s="140" t="e">
        <f>'2223 Band Values'!$BN$22</f>
        <v>#REF!</v>
      </c>
      <c r="L38" s="37"/>
      <c r="M38" s="7"/>
      <c r="R38" s="351"/>
    </row>
    <row r="39" spans="1:18" hidden="1" x14ac:dyDescent="0.25">
      <c r="A39" s="999"/>
      <c r="B39" t="s">
        <v>363</v>
      </c>
      <c r="C39" t="s">
        <v>312</v>
      </c>
      <c r="D39" t="s">
        <v>351</v>
      </c>
      <c r="F39" s="140" t="e">
        <f t="shared" ref="F39:K39" si="14">IF(F37-F38&gt;0,(F37-F38),(0))</f>
        <v>#REF!</v>
      </c>
      <c r="G39" s="140" t="e">
        <f t="shared" si="14"/>
        <v>#REF!</v>
      </c>
      <c r="H39" s="140" t="e">
        <f t="shared" si="14"/>
        <v>#REF!</v>
      </c>
      <c r="I39" s="140" t="e">
        <f t="shared" si="14"/>
        <v>#REF!</v>
      </c>
      <c r="J39" s="140" t="e">
        <f t="shared" si="14"/>
        <v>#REF!</v>
      </c>
      <c r="K39" s="140" t="e">
        <f t="shared" si="14"/>
        <v>#REF!</v>
      </c>
      <c r="L39" s="37"/>
      <c r="M39" s="7"/>
      <c r="R39" s="351"/>
    </row>
    <row r="40" spans="1:18" hidden="1" x14ac:dyDescent="0.25">
      <c r="A40" s="999">
        <v>9257011</v>
      </c>
      <c r="B40" t="str">
        <f>CONCATENATE(A40,C40)</f>
        <v>9257011c</v>
      </c>
      <c r="C40" t="s">
        <v>357</v>
      </c>
      <c r="D40" t="s">
        <v>217</v>
      </c>
      <c r="F40" s="7" t="e">
        <f t="shared" ref="F40:K40" si="15">IF(F39&lt;0,0,(F39*F36))</f>
        <v>#REF!</v>
      </c>
      <c r="G40" s="7" t="e">
        <f t="shared" si="15"/>
        <v>#REF!</v>
      </c>
      <c r="H40" s="7" t="e">
        <f t="shared" si="15"/>
        <v>#REF!</v>
      </c>
      <c r="I40" s="7" t="e">
        <f t="shared" si="15"/>
        <v>#REF!</v>
      </c>
      <c r="J40" s="7" t="e">
        <f t="shared" si="15"/>
        <v>#REF!</v>
      </c>
      <c r="K40" s="7" t="e">
        <f t="shared" si="15"/>
        <v>#REF!</v>
      </c>
      <c r="L40" s="141" t="e">
        <f>SUM(F40:K40)</f>
        <v>#REF!</v>
      </c>
      <c r="M40" s="140" t="e">
        <f>L40-O33</f>
        <v>#REF!</v>
      </c>
      <c r="R40" s="351"/>
    </row>
    <row r="41" spans="1:18" x14ac:dyDescent="0.25">
      <c r="A41" s="999"/>
      <c r="D41" t="s">
        <v>401</v>
      </c>
      <c r="F41" s="670">
        <v>11.754219409282701</v>
      </c>
      <c r="G41" s="670">
        <v>21.231981981981988</v>
      </c>
      <c r="H41" s="670">
        <v>0</v>
      </c>
      <c r="I41" s="670">
        <v>0</v>
      </c>
      <c r="J41" s="670">
        <v>0</v>
      </c>
      <c r="K41" s="670">
        <v>0</v>
      </c>
      <c r="L41" s="7"/>
      <c r="M41" s="7"/>
      <c r="N41" s="7"/>
      <c r="O41" s="7"/>
      <c r="R41" s="351"/>
    </row>
    <row r="42" spans="1:18" x14ac:dyDescent="0.25">
      <c r="A42" s="171"/>
      <c r="B42" s="171" t="s">
        <v>66</v>
      </c>
      <c r="C42" s="171"/>
      <c r="D42" s="171"/>
      <c r="E42" s="172"/>
      <c r="F42" s="173"/>
      <c r="G42" s="173"/>
      <c r="H42" s="173"/>
      <c r="I42" s="173"/>
      <c r="J42" s="173"/>
      <c r="K42" s="173"/>
      <c r="L42" s="173"/>
      <c r="M42" s="173"/>
      <c r="N42" s="172"/>
      <c r="O42" s="172"/>
      <c r="P42" s="172"/>
      <c r="Q42" s="172"/>
    </row>
    <row r="43" spans="1:18" x14ac:dyDescent="0.25">
      <c r="A43" s="999">
        <v>9257024</v>
      </c>
      <c r="B43" t="str">
        <f>CONCATENATE(A43,C43)</f>
        <v>92570242022/23</v>
      </c>
      <c r="C43" s="667" t="s">
        <v>306</v>
      </c>
      <c r="D43" t="s">
        <v>346</v>
      </c>
      <c r="E43" s="37">
        <f>SUM(F43:K43)</f>
        <v>39.786585365853661</v>
      </c>
      <c r="F43" s="670">
        <f>'2223 MFG Protection'!F52</f>
        <v>6.166666666666667</v>
      </c>
      <c r="G43" s="670">
        <f>'2223 MFG Protection'!G52</f>
        <v>33.619918699186996</v>
      </c>
      <c r="H43" s="670">
        <f>'2223 MFG Protection'!H52</f>
        <v>0</v>
      </c>
      <c r="I43" s="670">
        <f>'2223 MFG Protection'!I52</f>
        <v>0</v>
      </c>
      <c r="J43" s="670">
        <f>'2223 MFG Protection'!J52</f>
        <v>0</v>
      </c>
      <c r="K43" s="670">
        <f>'2223 MFG Protection'!K52</f>
        <v>0</v>
      </c>
      <c r="L43" s="37"/>
      <c r="N43" s="7"/>
      <c r="O43" s="140">
        <f>'2223 MFG Protection'!L51</f>
        <v>8844.6388169908823</v>
      </c>
      <c r="R43" s="351"/>
    </row>
    <row r="44" spans="1:18" x14ac:dyDescent="0.25">
      <c r="A44" s="999">
        <v>9257024</v>
      </c>
      <c r="B44" t="str">
        <f>CONCATENATE(A44,C44)</f>
        <v>92570242023/24</v>
      </c>
      <c r="C44" t="s">
        <v>312</v>
      </c>
      <c r="D44" t="str">
        <f>CONCATENATE(A44,C44)</f>
        <v>92570242023/24</v>
      </c>
      <c r="E44" s="37">
        <f>VLOOKUP(A44,'2324 Funding Detail'!$A$4:$M$20,13,(FALSE))</f>
        <v>92.916666666666671</v>
      </c>
      <c r="F44" s="555">
        <f>$E$44*'2324 Band Calculations'!D9</f>
        <v>7.6519607843137258</v>
      </c>
      <c r="G44" s="555">
        <f>$E$44*'2324 Band Calculations'!E9</f>
        <v>50.284313725490193</v>
      </c>
      <c r="H44" s="555">
        <f>$E$44*'2324 Band Calculations'!F9</f>
        <v>1.0931372549019609</v>
      </c>
      <c r="I44" s="555">
        <f>$E$44*'2324 Band Calculations'!G9</f>
        <v>16.397058823529413</v>
      </c>
      <c r="J44" s="555">
        <f>$E$44*'2324 Band Calculations'!H9</f>
        <v>6.5588235294117654</v>
      </c>
      <c r="K44" s="555">
        <f>$E$44*'2324 Band Calculations'!I9</f>
        <v>4.3725490196078436</v>
      </c>
      <c r="L44" s="177">
        <f>$E$44*'2324 Band Calculations'!J9</f>
        <v>6.5588235294117654</v>
      </c>
      <c r="N44" s="7"/>
      <c r="R44" s="351"/>
    </row>
    <row r="45" spans="1:18" x14ac:dyDescent="0.25">
      <c r="A45" s="999">
        <v>9257024</v>
      </c>
      <c r="B45" t="str">
        <f>CONCATENATE(A45,C45)</f>
        <v>9257024</v>
      </c>
      <c r="F45" s="170">
        <f t="shared" ref="F45:K45" si="16">F44-F43</f>
        <v>1.4852941176470589</v>
      </c>
      <c r="G45" s="170">
        <f t="shared" si="16"/>
        <v>16.664395026303197</v>
      </c>
      <c r="H45" s="170">
        <f t="shared" si="16"/>
        <v>1.0931372549019609</v>
      </c>
      <c r="I45" s="170">
        <f t="shared" si="16"/>
        <v>16.397058823529413</v>
      </c>
      <c r="J45" s="170">
        <f t="shared" si="16"/>
        <v>6.5588235294117654</v>
      </c>
      <c r="K45" s="170">
        <f t="shared" si="16"/>
        <v>4.3725490196078436</v>
      </c>
      <c r="R45" s="351"/>
    </row>
    <row r="46" spans="1:18" x14ac:dyDescent="0.25">
      <c r="A46" s="999">
        <v>9257024</v>
      </c>
      <c r="B46" t="str">
        <f>CONCATENATE(A46,C46)</f>
        <v>9257024a</v>
      </c>
      <c r="C46" t="s">
        <v>349</v>
      </c>
      <c r="D46" t="s">
        <v>346</v>
      </c>
      <c r="F46" s="549">
        <f t="shared" ref="F46:K46" si="17">IF(F43&gt;F44,(F44),(F43))</f>
        <v>6.166666666666667</v>
      </c>
      <c r="G46" s="549">
        <f t="shared" si="17"/>
        <v>33.619918699186996</v>
      </c>
      <c r="H46" s="549">
        <f t="shared" si="17"/>
        <v>0</v>
      </c>
      <c r="I46" s="549">
        <f t="shared" si="17"/>
        <v>0</v>
      </c>
      <c r="J46" s="549">
        <f t="shared" si="17"/>
        <v>0</v>
      </c>
      <c r="K46" s="549">
        <f t="shared" si="17"/>
        <v>0</v>
      </c>
      <c r="L46" s="37"/>
      <c r="M46" s="7"/>
      <c r="O46" s="7"/>
      <c r="P46" s="7"/>
      <c r="R46" s="351"/>
    </row>
    <row r="47" spans="1:18" x14ac:dyDescent="0.25">
      <c r="A47" s="999"/>
      <c r="B47" t="s">
        <v>364</v>
      </c>
      <c r="C47" t="s">
        <v>306</v>
      </c>
      <c r="D47" t="s">
        <v>351</v>
      </c>
      <c r="F47" s="664">
        <f>'2223 MFG Protection'!F50</f>
        <v>257.57740602179041</v>
      </c>
      <c r="G47" s="664">
        <f>'2223 MFG Protection'!G50</f>
        <v>215.83171803938103</v>
      </c>
      <c r="H47" s="664">
        <f>'2223 MFG Protection'!H50</f>
        <v>0</v>
      </c>
      <c r="I47" s="664">
        <f>'2223 MFG Protection'!I50</f>
        <v>0</v>
      </c>
      <c r="J47" s="664">
        <f>'2223 MFG Protection'!J50</f>
        <v>0</v>
      </c>
      <c r="K47" s="664">
        <f>'2223 MFG Protection'!K50</f>
        <v>0</v>
      </c>
      <c r="L47" s="37"/>
      <c r="M47" s="7"/>
      <c r="O47" s="7"/>
      <c r="P47" s="7"/>
      <c r="R47" s="351"/>
    </row>
    <row r="48" spans="1:18" x14ac:dyDescent="0.25">
      <c r="A48" s="999">
        <v>9257024</v>
      </c>
      <c r="B48" t="str">
        <f>CONCATENATE(A48,C48)</f>
        <v>9257024b</v>
      </c>
      <c r="C48" t="s">
        <v>353</v>
      </c>
      <c r="D48" t="s">
        <v>354</v>
      </c>
      <c r="F48" s="664">
        <v>103</v>
      </c>
      <c r="G48" s="664">
        <v>102</v>
      </c>
      <c r="H48" s="664">
        <v>468</v>
      </c>
      <c r="I48" s="664">
        <v>500</v>
      </c>
      <c r="J48" s="664">
        <v>500</v>
      </c>
      <c r="K48" s="664">
        <v>363</v>
      </c>
      <c r="L48" s="37"/>
      <c r="M48" s="7"/>
      <c r="R48" s="351"/>
    </row>
    <row r="49" spans="1:18" x14ac:dyDescent="0.25">
      <c r="A49" s="999"/>
      <c r="B49" t="s">
        <v>365</v>
      </c>
      <c r="C49" t="s">
        <v>312</v>
      </c>
      <c r="D49" t="s">
        <v>351</v>
      </c>
      <c r="F49" s="140">
        <f t="shared" ref="F49:K49" si="18">IF(F47-F48&gt;0,(F47-F48),(0))</f>
        <v>154.57740602179041</v>
      </c>
      <c r="G49" s="140">
        <f t="shared" si="18"/>
        <v>113.83171803938103</v>
      </c>
      <c r="H49" s="140">
        <f t="shared" si="18"/>
        <v>0</v>
      </c>
      <c r="I49" s="140">
        <f t="shared" si="18"/>
        <v>0</v>
      </c>
      <c r="J49" s="140">
        <f t="shared" si="18"/>
        <v>0</v>
      </c>
      <c r="K49" s="140">
        <f t="shared" si="18"/>
        <v>0</v>
      </c>
      <c r="L49" s="37"/>
      <c r="M49" s="7"/>
      <c r="R49" s="351"/>
    </row>
    <row r="50" spans="1:18" x14ac:dyDescent="0.25">
      <c r="A50" s="999">
        <v>9257024</v>
      </c>
      <c r="B50" t="str">
        <f>CONCATENATE(A50,C50)</f>
        <v>9257024c</v>
      </c>
      <c r="C50" t="s">
        <v>357</v>
      </c>
      <c r="D50" t="s">
        <v>217</v>
      </c>
      <c r="F50" s="7">
        <f t="shared" ref="F50:K50" si="19">IF(F49&lt;0,0,(F49*F46))</f>
        <v>953.22733713437424</v>
      </c>
      <c r="G50" s="7">
        <f t="shared" si="19"/>
        <v>3827.0131058727679</v>
      </c>
      <c r="H50" s="7">
        <f t="shared" si="19"/>
        <v>0</v>
      </c>
      <c r="I50" s="7">
        <f t="shared" si="19"/>
        <v>0</v>
      </c>
      <c r="J50" s="7">
        <f t="shared" si="19"/>
        <v>0</v>
      </c>
      <c r="K50" s="7">
        <f t="shared" si="19"/>
        <v>0</v>
      </c>
      <c r="L50" s="141">
        <f>SUM(F50:K50)</f>
        <v>4780.2404430071419</v>
      </c>
      <c r="M50" s="140">
        <f>L50-O43</f>
        <v>-4064.3983739837404</v>
      </c>
      <c r="R50" s="351"/>
    </row>
    <row r="51" spans="1:18" x14ac:dyDescent="0.25">
      <c r="A51" s="1005"/>
      <c r="D51" t="s">
        <v>401</v>
      </c>
      <c r="F51" s="670">
        <v>6.166666666666667</v>
      </c>
      <c r="G51" s="670">
        <v>33.619918699186996</v>
      </c>
      <c r="H51" s="670">
        <v>0</v>
      </c>
      <c r="I51" s="670">
        <v>0</v>
      </c>
      <c r="J51" s="670">
        <v>0</v>
      </c>
      <c r="K51" s="670">
        <v>0</v>
      </c>
      <c r="L51" s="141"/>
      <c r="M51" s="140"/>
      <c r="R51" s="351"/>
    </row>
    <row r="52" spans="1:18" x14ac:dyDescent="0.25">
      <c r="A52" s="171"/>
      <c r="B52" s="171" t="s">
        <v>84</v>
      </c>
      <c r="C52" s="171"/>
      <c r="D52" s="171"/>
      <c r="E52" s="172"/>
      <c r="F52" s="173"/>
      <c r="G52" s="173"/>
      <c r="H52" s="173"/>
      <c r="I52" s="173"/>
      <c r="J52" s="173"/>
      <c r="K52" s="173"/>
      <c r="L52" s="173"/>
      <c r="M52" s="173"/>
      <c r="N52" s="172"/>
      <c r="O52" s="172"/>
      <c r="P52" s="172"/>
      <c r="Q52" s="172"/>
    </row>
    <row r="53" spans="1:18" x14ac:dyDescent="0.25">
      <c r="A53" s="999">
        <v>9257031</v>
      </c>
      <c r="B53" t="str">
        <f>CONCATENATE(A53,C53)</f>
        <v>92570312022/23</v>
      </c>
      <c r="C53" s="667" t="s">
        <v>306</v>
      </c>
      <c r="D53" t="s">
        <v>346</v>
      </c>
      <c r="E53" s="37">
        <f>SUM(F53:K53)</f>
        <v>0</v>
      </c>
      <c r="F53" s="670">
        <f>'2223 MFG Protection'!F62</f>
        <v>0</v>
      </c>
      <c r="G53" s="670">
        <f>'2223 MFG Protection'!G62</f>
        <v>0</v>
      </c>
      <c r="H53" s="670">
        <f>'2223 MFG Protection'!H62</f>
        <v>0</v>
      </c>
      <c r="I53" s="670">
        <f>'2223 MFG Protection'!I62</f>
        <v>0</v>
      </c>
      <c r="J53" s="670">
        <f>'2223 MFG Protection'!J62</f>
        <v>0</v>
      </c>
      <c r="K53" s="670">
        <f>'2223 MFG Protection'!K62</f>
        <v>0</v>
      </c>
      <c r="L53" s="37"/>
      <c r="N53" s="7"/>
      <c r="O53" s="140">
        <f>'2223 MFG Protection'!L61</f>
        <v>0</v>
      </c>
      <c r="R53" s="351"/>
    </row>
    <row r="54" spans="1:18" x14ac:dyDescent="0.25">
      <c r="A54" s="999">
        <v>9257031</v>
      </c>
      <c r="B54" t="str">
        <f>CONCATENATE(A54,C54)</f>
        <v>92570312023/24</v>
      </c>
      <c r="C54" t="s">
        <v>312</v>
      </c>
      <c r="D54" t="str">
        <f>CONCATENATE(A54,C54)</f>
        <v>92570312023/24</v>
      </c>
      <c r="E54" s="37">
        <f>VLOOKUP(A54,'2324 Funding Detail'!$A$4:$M$20,13,(FALSE))</f>
        <v>80.583333333333343</v>
      </c>
      <c r="F54" s="549">
        <f>$E$54*'2324 Band Calculations'!D31</f>
        <v>0</v>
      </c>
      <c r="G54" s="549">
        <f>$E$54*'2324 Band Calculations'!E31</f>
        <v>0</v>
      </c>
      <c r="H54" s="549">
        <f>$E$54*'2324 Band Calculations'!F31</f>
        <v>80.583333333333343</v>
      </c>
      <c r="I54" s="549">
        <f>$E$54*'2324 Band Calculations'!G31</f>
        <v>0</v>
      </c>
      <c r="J54" s="549">
        <f>$E$54*'2324 Band Calculations'!H31</f>
        <v>0</v>
      </c>
      <c r="K54" s="549">
        <f>$E$54*'2324 Band Calculations'!I31</f>
        <v>0</v>
      </c>
      <c r="L54" s="169">
        <f>$E$54*'2324 Band Calculations'!J31</f>
        <v>0</v>
      </c>
      <c r="N54" s="7"/>
      <c r="R54" s="351"/>
    </row>
    <row r="55" spans="1:18" x14ac:dyDescent="0.25">
      <c r="A55" s="999">
        <v>9257031</v>
      </c>
      <c r="B55" t="str">
        <f>CONCATENATE(A55,C55)</f>
        <v>9257031</v>
      </c>
      <c r="F55" s="170">
        <f t="shared" ref="F55:K55" si="20">F54-F53</f>
        <v>0</v>
      </c>
      <c r="G55" s="170">
        <f t="shared" si="20"/>
        <v>0</v>
      </c>
      <c r="H55" s="170">
        <f t="shared" si="20"/>
        <v>80.583333333333343</v>
      </c>
      <c r="I55" s="170">
        <f t="shared" si="20"/>
        <v>0</v>
      </c>
      <c r="J55" s="170">
        <f t="shared" si="20"/>
        <v>0</v>
      </c>
      <c r="K55" s="170">
        <f t="shared" si="20"/>
        <v>0</v>
      </c>
      <c r="R55" s="351"/>
    </row>
    <row r="56" spans="1:18" x14ac:dyDescent="0.25">
      <c r="A56" s="999">
        <v>9257031</v>
      </c>
      <c r="B56" t="str">
        <f>CONCATENATE(A56,C56)</f>
        <v>9257031a</v>
      </c>
      <c r="C56" t="s">
        <v>349</v>
      </c>
      <c r="D56" t="s">
        <v>346</v>
      </c>
      <c r="F56" s="549">
        <f t="shared" ref="F56:K56" si="21">IF(F53&gt;F54,(F54),(F53))</f>
        <v>0</v>
      </c>
      <c r="G56" s="549">
        <f t="shared" si="21"/>
        <v>0</v>
      </c>
      <c r="H56" s="549">
        <f t="shared" si="21"/>
        <v>0</v>
      </c>
      <c r="I56" s="549">
        <f t="shared" si="21"/>
        <v>0</v>
      </c>
      <c r="J56" s="549">
        <f t="shared" si="21"/>
        <v>0</v>
      </c>
      <c r="K56" s="549">
        <f t="shared" si="21"/>
        <v>0</v>
      </c>
      <c r="L56" s="37"/>
      <c r="M56" s="7"/>
      <c r="O56" s="7"/>
      <c r="P56" s="7"/>
      <c r="R56" s="351"/>
    </row>
    <row r="57" spans="1:18" x14ac:dyDescent="0.25">
      <c r="A57" s="999"/>
      <c r="B57" t="s">
        <v>366</v>
      </c>
      <c r="C57" t="s">
        <v>306</v>
      </c>
      <c r="D57" t="s">
        <v>351</v>
      </c>
      <c r="F57" s="664">
        <f>'2223 MFG Protection'!F60</f>
        <v>0</v>
      </c>
      <c r="G57" s="664">
        <f>'2223 MFG Protection'!G60</f>
        <v>0</v>
      </c>
      <c r="H57" s="664">
        <f>'2223 MFG Protection'!H60</f>
        <v>0</v>
      </c>
      <c r="I57" s="664">
        <f>'2223 MFG Protection'!I60</f>
        <v>0</v>
      </c>
      <c r="J57" s="664">
        <f>'2223 MFG Protection'!J60</f>
        <v>0</v>
      </c>
      <c r="K57" s="664">
        <f>'2223 MFG Protection'!K60</f>
        <v>0</v>
      </c>
      <c r="L57" s="37"/>
      <c r="M57" s="7"/>
      <c r="O57" s="7"/>
      <c r="P57" s="7"/>
      <c r="R57" s="351"/>
    </row>
    <row r="58" spans="1:18" x14ac:dyDescent="0.25">
      <c r="A58" s="999">
        <v>9257031</v>
      </c>
      <c r="B58" t="str">
        <f>CONCATENATE(A58,C58)</f>
        <v>9257031b</v>
      </c>
      <c r="C58" t="s">
        <v>353</v>
      </c>
      <c r="D58" t="s">
        <v>354</v>
      </c>
      <c r="F58" s="664">
        <v>103</v>
      </c>
      <c r="G58" s="664">
        <v>102</v>
      </c>
      <c r="H58" s="664">
        <v>468</v>
      </c>
      <c r="I58" s="664">
        <v>500</v>
      </c>
      <c r="J58" s="664">
        <v>500</v>
      </c>
      <c r="K58" s="664">
        <v>363</v>
      </c>
      <c r="L58" s="37"/>
      <c r="M58" s="7"/>
      <c r="R58" s="351"/>
    </row>
    <row r="59" spans="1:18" x14ac:dyDescent="0.25">
      <c r="A59" s="999"/>
      <c r="B59" t="s">
        <v>367</v>
      </c>
      <c r="C59" t="s">
        <v>312</v>
      </c>
      <c r="D59" t="s">
        <v>351</v>
      </c>
      <c r="F59" s="140">
        <f t="shared" ref="F59:K59" si="22">IF(F57-F58&gt;0,(F57-F58),(0))</f>
        <v>0</v>
      </c>
      <c r="G59" s="140">
        <f t="shared" si="22"/>
        <v>0</v>
      </c>
      <c r="H59" s="140">
        <f t="shared" si="22"/>
        <v>0</v>
      </c>
      <c r="I59" s="140">
        <f t="shared" si="22"/>
        <v>0</v>
      </c>
      <c r="J59" s="140">
        <f t="shared" si="22"/>
        <v>0</v>
      </c>
      <c r="K59" s="140">
        <f t="shared" si="22"/>
        <v>0</v>
      </c>
      <c r="L59" s="37"/>
      <c r="M59" s="7"/>
      <c r="R59" s="351"/>
    </row>
    <row r="60" spans="1:18" x14ac:dyDescent="0.25">
      <c r="A60" s="999">
        <v>9257031</v>
      </c>
      <c r="B60" t="str">
        <f>CONCATENATE(A60,C60)</f>
        <v>9257031c</v>
      </c>
      <c r="C60" t="s">
        <v>357</v>
      </c>
      <c r="D60" t="s">
        <v>217</v>
      </c>
      <c r="F60" s="7">
        <f t="shared" ref="F60:K60" si="23">IF(F59&lt;0,0,(F59*F56))</f>
        <v>0</v>
      </c>
      <c r="G60" s="7">
        <f t="shared" si="23"/>
        <v>0</v>
      </c>
      <c r="H60" s="7">
        <f t="shared" si="23"/>
        <v>0</v>
      </c>
      <c r="I60" s="7">
        <f t="shared" si="23"/>
        <v>0</v>
      </c>
      <c r="J60" s="7">
        <f t="shared" si="23"/>
        <v>0</v>
      </c>
      <c r="K60" s="7">
        <f t="shared" si="23"/>
        <v>0</v>
      </c>
      <c r="L60" s="141">
        <f>SUM(F60:K60)</f>
        <v>0</v>
      </c>
      <c r="M60" s="140">
        <f>L60-O53</f>
        <v>0</v>
      </c>
      <c r="R60" s="351"/>
    </row>
    <row r="61" spans="1:18" x14ac:dyDescent="0.25">
      <c r="A61" s="1005"/>
      <c r="D61" t="s">
        <v>401</v>
      </c>
      <c r="F61" s="670">
        <v>0</v>
      </c>
      <c r="G61" s="670">
        <v>0</v>
      </c>
      <c r="H61" s="670">
        <v>0</v>
      </c>
      <c r="I61" s="670">
        <v>0</v>
      </c>
      <c r="J61" s="670">
        <v>0</v>
      </c>
      <c r="K61" s="670">
        <v>0</v>
      </c>
      <c r="L61" s="141"/>
      <c r="M61" s="140"/>
      <c r="R61" s="351"/>
    </row>
    <row r="62" spans="1:18" x14ac:dyDescent="0.25">
      <c r="A62" s="171"/>
      <c r="B62" s="171" t="s">
        <v>74</v>
      </c>
      <c r="C62" s="171"/>
      <c r="D62" s="171"/>
      <c r="E62" s="172"/>
      <c r="F62" s="173"/>
      <c r="G62" s="173"/>
      <c r="H62" s="173"/>
      <c r="I62" s="173"/>
      <c r="J62" s="173"/>
      <c r="K62" s="173"/>
      <c r="L62" s="173"/>
      <c r="M62" s="173"/>
      <c r="N62" s="172"/>
      <c r="O62" s="172"/>
      <c r="P62" s="172"/>
      <c r="Q62" s="172"/>
    </row>
    <row r="63" spans="1:18" x14ac:dyDescent="0.25">
      <c r="A63" s="999">
        <v>9257033</v>
      </c>
      <c r="B63" t="str">
        <f>CONCATENATE(A63,C63)</f>
        <v>92570332022/23</v>
      </c>
      <c r="C63" s="667" t="s">
        <v>306</v>
      </c>
      <c r="D63" t="s">
        <v>346</v>
      </c>
      <c r="E63" s="37">
        <f>SUM(F63:K63)</f>
        <v>0</v>
      </c>
      <c r="F63" s="670">
        <f>'2223 MFG Protection'!F72</f>
        <v>0</v>
      </c>
      <c r="G63" s="670">
        <f>'2223 MFG Protection'!G72</f>
        <v>0</v>
      </c>
      <c r="H63" s="670">
        <f>'2223 MFG Protection'!H72</f>
        <v>0</v>
      </c>
      <c r="I63" s="670">
        <f>'2223 MFG Protection'!I72</f>
        <v>0</v>
      </c>
      <c r="J63" s="670">
        <f>'2223 MFG Protection'!J72</f>
        <v>0</v>
      </c>
      <c r="K63" s="670">
        <f>'2223 MFG Protection'!K72</f>
        <v>0</v>
      </c>
      <c r="L63" s="37"/>
      <c r="N63" s="7"/>
      <c r="O63" s="140">
        <f>'2223 MFG Protection'!L71</f>
        <v>0</v>
      </c>
      <c r="R63" s="351"/>
    </row>
    <row r="64" spans="1:18" x14ac:dyDescent="0.25">
      <c r="A64" s="999">
        <v>9257033</v>
      </c>
      <c r="B64" t="str">
        <f>CONCATENATE(A64,C64)</f>
        <v>92570332023/24</v>
      </c>
      <c r="C64" t="s">
        <v>312</v>
      </c>
      <c r="D64" t="str">
        <f>CONCATENATE(A64,C64)</f>
        <v>92570332023/24</v>
      </c>
      <c r="E64" s="37">
        <f>VLOOKUP(A64,'2324 Funding Detail'!$A$4:$M$20,13,(FALSE))</f>
        <v>113.75000000000001</v>
      </c>
      <c r="F64" s="549">
        <f>$E$64*'2324 Band Calculations'!D11</f>
        <v>15.371621621621625</v>
      </c>
      <c r="G64" s="549">
        <f>$E$64*'2324 Band Calculations'!E11</f>
        <v>76.858108108108112</v>
      </c>
      <c r="H64" s="549">
        <f>$E$64*'2324 Band Calculations'!F11</f>
        <v>1.0247747747747749</v>
      </c>
      <c r="I64" s="549">
        <f>$E$64*'2324 Band Calculations'!G11</f>
        <v>10.247747747747749</v>
      </c>
      <c r="J64" s="549">
        <f>$E$64*'2324 Band Calculations'!H11</f>
        <v>5.1238738738738743</v>
      </c>
      <c r="K64" s="549">
        <f>$E$64*'2324 Band Calculations'!I11</f>
        <v>3.074324324324325</v>
      </c>
      <c r="L64" s="169">
        <f>$E$64*'2324 Band Calculations'!J11</f>
        <v>2.0495495495495497</v>
      </c>
      <c r="N64" s="7"/>
      <c r="R64" s="351"/>
    </row>
    <row r="65" spans="1:18" x14ac:dyDescent="0.25">
      <c r="A65" s="999">
        <v>9257033</v>
      </c>
      <c r="B65" t="str">
        <f>CONCATENATE(A65,C65)</f>
        <v>9257033</v>
      </c>
      <c r="F65" s="170">
        <f t="shared" ref="F65:K65" si="24">F64-F63</f>
        <v>15.371621621621625</v>
      </c>
      <c r="G65" s="170">
        <f t="shared" si="24"/>
        <v>76.858108108108112</v>
      </c>
      <c r="H65" s="170">
        <f t="shared" si="24"/>
        <v>1.0247747747747749</v>
      </c>
      <c r="I65" s="170">
        <f t="shared" si="24"/>
        <v>10.247747747747749</v>
      </c>
      <c r="J65" s="170">
        <f t="shared" si="24"/>
        <v>5.1238738738738743</v>
      </c>
      <c r="K65" s="170">
        <f t="shared" si="24"/>
        <v>3.074324324324325</v>
      </c>
      <c r="R65" s="351"/>
    </row>
    <row r="66" spans="1:18" x14ac:dyDescent="0.25">
      <c r="A66" s="999">
        <v>9257033</v>
      </c>
      <c r="B66" t="str">
        <f>CONCATENATE(A66,C66)</f>
        <v>9257033a</v>
      </c>
      <c r="C66" t="s">
        <v>349</v>
      </c>
      <c r="D66" t="s">
        <v>346</v>
      </c>
      <c r="F66" s="549">
        <f t="shared" ref="F66:K66" si="25">IF(F63&gt;F64,(F64),(F63))</f>
        <v>0</v>
      </c>
      <c r="G66" s="549">
        <f t="shared" si="25"/>
        <v>0</v>
      </c>
      <c r="H66" s="549">
        <f t="shared" si="25"/>
        <v>0</v>
      </c>
      <c r="I66" s="549">
        <f t="shared" si="25"/>
        <v>0</v>
      </c>
      <c r="J66" s="549">
        <f t="shared" si="25"/>
        <v>0</v>
      </c>
      <c r="K66" s="549">
        <f t="shared" si="25"/>
        <v>0</v>
      </c>
      <c r="L66" s="37"/>
      <c r="M66" s="7"/>
      <c r="O66" s="7"/>
      <c r="P66" s="7"/>
      <c r="R66" s="351"/>
    </row>
    <row r="67" spans="1:18" x14ac:dyDescent="0.25">
      <c r="A67" s="999"/>
      <c r="B67" t="s">
        <v>368</v>
      </c>
      <c r="C67" t="s">
        <v>306</v>
      </c>
      <c r="D67" t="s">
        <v>351</v>
      </c>
      <c r="F67" s="664">
        <f>'2223 MFG Protection'!F70</f>
        <v>0</v>
      </c>
      <c r="G67" s="664">
        <f>'2223 MFG Protection'!G70</f>
        <v>0</v>
      </c>
      <c r="H67" s="664">
        <f>'2223 MFG Protection'!H70</f>
        <v>0</v>
      </c>
      <c r="I67" s="664">
        <f>'2223 MFG Protection'!I70</f>
        <v>0</v>
      </c>
      <c r="J67" s="664">
        <f>'2223 MFG Protection'!J70</f>
        <v>0</v>
      </c>
      <c r="K67" s="664">
        <f>'2223 MFG Protection'!K70</f>
        <v>0</v>
      </c>
      <c r="L67" s="37"/>
      <c r="M67" s="7"/>
      <c r="O67" s="7"/>
      <c r="P67" s="7"/>
      <c r="R67" s="351"/>
    </row>
    <row r="68" spans="1:18" x14ac:dyDescent="0.25">
      <c r="A68" s="999">
        <v>9257033</v>
      </c>
      <c r="B68" t="str">
        <f>CONCATENATE(A68,C68)</f>
        <v>9257033b</v>
      </c>
      <c r="C68" t="s">
        <v>353</v>
      </c>
      <c r="D68" t="s">
        <v>354</v>
      </c>
      <c r="F68" s="664">
        <v>103</v>
      </c>
      <c r="G68" s="664">
        <v>102</v>
      </c>
      <c r="H68" s="664">
        <v>468</v>
      </c>
      <c r="I68" s="664">
        <v>500</v>
      </c>
      <c r="J68" s="664">
        <v>500</v>
      </c>
      <c r="K68" s="664">
        <v>363</v>
      </c>
      <c r="L68" s="37"/>
      <c r="M68" s="7"/>
      <c r="R68" s="351"/>
    </row>
    <row r="69" spans="1:18" x14ac:dyDescent="0.25">
      <c r="A69" s="999"/>
      <c r="B69" t="s">
        <v>369</v>
      </c>
      <c r="C69" t="s">
        <v>312</v>
      </c>
      <c r="D69" t="s">
        <v>351</v>
      </c>
      <c r="F69" s="140">
        <f t="shared" ref="F69:K69" si="26">IF(F67-F68&gt;0,(F67-F68),(0))</f>
        <v>0</v>
      </c>
      <c r="G69" s="140">
        <f t="shared" si="26"/>
        <v>0</v>
      </c>
      <c r="H69" s="140">
        <f t="shared" si="26"/>
        <v>0</v>
      </c>
      <c r="I69" s="140">
        <f t="shared" si="26"/>
        <v>0</v>
      </c>
      <c r="J69" s="140">
        <f t="shared" si="26"/>
        <v>0</v>
      </c>
      <c r="K69" s="140">
        <f t="shared" si="26"/>
        <v>0</v>
      </c>
      <c r="L69" s="37"/>
      <c r="M69" s="7"/>
      <c r="R69" s="351"/>
    </row>
    <row r="70" spans="1:18" x14ac:dyDescent="0.25">
      <c r="A70" s="999">
        <v>9257033</v>
      </c>
      <c r="B70" t="str">
        <f>CONCATENATE(A70,C70)</f>
        <v>9257033c</v>
      </c>
      <c r="C70" t="s">
        <v>357</v>
      </c>
      <c r="D70" t="s">
        <v>217</v>
      </c>
      <c r="F70" s="7">
        <f t="shared" ref="F70:K70" si="27">IF(F69&lt;0,0,(F69*F66))</f>
        <v>0</v>
      </c>
      <c r="G70" s="7">
        <f t="shared" si="27"/>
        <v>0</v>
      </c>
      <c r="H70" s="7">
        <f t="shared" si="27"/>
        <v>0</v>
      </c>
      <c r="I70" s="7">
        <f t="shared" si="27"/>
        <v>0</v>
      </c>
      <c r="J70" s="7">
        <f t="shared" si="27"/>
        <v>0</v>
      </c>
      <c r="K70" s="7">
        <f t="shared" si="27"/>
        <v>0</v>
      </c>
      <c r="L70" s="141">
        <f>SUM(F70:K70)</f>
        <v>0</v>
      </c>
      <c r="M70" s="140">
        <f>L70-O63</f>
        <v>0</v>
      </c>
      <c r="R70" s="351"/>
    </row>
    <row r="71" spans="1:18" x14ac:dyDescent="0.25">
      <c r="A71" s="1005"/>
      <c r="D71" t="s">
        <v>401</v>
      </c>
      <c r="F71" s="670">
        <v>0</v>
      </c>
      <c r="G71" s="670">
        <v>0</v>
      </c>
      <c r="H71" s="670">
        <v>0</v>
      </c>
      <c r="I71" s="670">
        <v>0</v>
      </c>
      <c r="J71" s="670">
        <v>0</v>
      </c>
      <c r="K71" s="670">
        <v>0</v>
      </c>
      <c r="L71" s="141"/>
      <c r="M71" s="140"/>
      <c r="R71" s="351"/>
    </row>
    <row r="72" spans="1:18" x14ac:dyDescent="0.25">
      <c r="A72" s="171"/>
      <c r="B72" s="171" t="s">
        <v>67</v>
      </c>
      <c r="C72" s="171"/>
      <c r="D72" s="171"/>
      <c r="E72" s="172"/>
      <c r="F72" s="173"/>
      <c r="G72" s="173"/>
      <c r="H72" s="173"/>
      <c r="I72" s="173"/>
      <c r="J72" s="173"/>
      <c r="K72" s="173"/>
      <c r="L72" s="173"/>
      <c r="M72" s="173"/>
      <c r="N72" s="172"/>
      <c r="O72" s="172"/>
      <c r="P72" s="172"/>
      <c r="Q72" s="172"/>
    </row>
    <row r="73" spans="1:18" x14ac:dyDescent="0.25">
      <c r="A73" s="999">
        <v>9257008</v>
      </c>
      <c r="B73" t="str">
        <f>CONCATENATE(A73,C73)</f>
        <v>92570082022/23</v>
      </c>
      <c r="C73" s="667" t="s">
        <v>306</v>
      </c>
      <c r="D73" t="s">
        <v>346</v>
      </c>
      <c r="E73" s="37">
        <f>SUM(F73:K73)</f>
        <v>0</v>
      </c>
      <c r="F73" s="670">
        <f>'2223 MFG Protection'!F82</f>
        <v>0</v>
      </c>
      <c r="G73" s="670">
        <f>'2223 MFG Protection'!G82</f>
        <v>0</v>
      </c>
      <c r="H73" s="670">
        <f>'2223 MFG Protection'!H82</f>
        <v>0</v>
      </c>
      <c r="I73" s="670">
        <f>'2223 MFG Protection'!I82</f>
        <v>0</v>
      </c>
      <c r="J73" s="670">
        <f>'2223 MFG Protection'!J82</f>
        <v>0</v>
      </c>
      <c r="K73" s="670">
        <f>'2223 MFG Protection'!K82</f>
        <v>0</v>
      </c>
      <c r="L73" s="37"/>
      <c r="N73" s="7"/>
      <c r="O73" s="140">
        <f>'2223 MFG Protection'!L81</f>
        <v>0</v>
      </c>
      <c r="R73" s="351"/>
    </row>
    <row r="74" spans="1:18" x14ac:dyDescent="0.25">
      <c r="A74" s="999">
        <v>9257008</v>
      </c>
      <c r="B74" t="str">
        <f>CONCATENATE(A74,C74)</f>
        <v>92570082023/24</v>
      </c>
      <c r="C74" t="s">
        <v>312</v>
      </c>
      <c r="D74" t="str">
        <f>CONCATENATE(A74,C74)</f>
        <v>92570082023/24</v>
      </c>
      <c r="E74" s="37">
        <f>VLOOKUP(A74,'2324 Funding Detail'!$A$4:$M$20,13,(FALSE))</f>
        <v>101</v>
      </c>
      <c r="F74" s="549">
        <f>$E$74*'2324 Band Calculations'!D12</f>
        <v>16</v>
      </c>
      <c r="G74" s="549">
        <f>$E$74*'2324 Band Calculations'!E12</f>
        <v>63</v>
      </c>
      <c r="H74" s="549">
        <f>$E$74*'2324 Band Calculations'!F12</f>
        <v>5</v>
      </c>
      <c r="I74" s="549">
        <f>$E$74*'2324 Band Calculations'!G12</f>
        <v>11</v>
      </c>
      <c r="J74" s="549">
        <f>$E$74*'2324 Band Calculations'!H12</f>
        <v>0</v>
      </c>
      <c r="K74" s="549">
        <f>$E$74*'2324 Band Calculations'!I12</f>
        <v>6</v>
      </c>
      <c r="L74" s="169">
        <f>$E$74*'2324 Band Calculations'!J12</f>
        <v>0</v>
      </c>
      <c r="N74" s="7"/>
      <c r="R74" s="351"/>
    </row>
    <row r="75" spans="1:18" x14ac:dyDescent="0.25">
      <c r="A75" s="999">
        <v>9257008</v>
      </c>
      <c r="B75" t="str">
        <f>CONCATENATE(A75,C75)</f>
        <v>9257008</v>
      </c>
      <c r="F75" s="170">
        <f t="shared" ref="F75:K75" si="28">F74-F73</f>
        <v>16</v>
      </c>
      <c r="G75" s="170">
        <f t="shared" si="28"/>
        <v>63</v>
      </c>
      <c r="H75" s="170">
        <f t="shared" si="28"/>
        <v>5</v>
      </c>
      <c r="I75" s="170">
        <f t="shared" si="28"/>
        <v>11</v>
      </c>
      <c r="J75" s="170">
        <f t="shared" si="28"/>
        <v>0</v>
      </c>
      <c r="K75" s="170">
        <f t="shared" si="28"/>
        <v>6</v>
      </c>
      <c r="R75" s="351"/>
    </row>
    <row r="76" spans="1:18" x14ac:dyDescent="0.25">
      <c r="A76" s="999">
        <v>9257008</v>
      </c>
      <c r="B76" t="str">
        <f>CONCATENATE(A76,C76)</f>
        <v>9257008a</v>
      </c>
      <c r="C76" t="s">
        <v>349</v>
      </c>
      <c r="D76" t="s">
        <v>346</v>
      </c>
      <c r="F76" s="549">
        <f t="shared" ref="F76:K76" si="29">IF(F73&gt;F74,(F74),(F73))</f>
        <v>0</v>
      </c>
      <c r="G76" s="549">
        <f t="shared" si="29"/>
        <v>0</v>
      </c>
      <c r="H76" s="549">
        <f t="shared" si="29"/>
        <v>0</v>
      </c>
      <c r="I76" s="549">
        <f t="shared" si="29"/>
        <v>0</v>
      </c>
      <c r="J76" s="549">
        <f t="shared" si="29"/>
        <v>0</v>
      </c>
      <c r="K76" s="549">
        <f t="shared" si="29"/>
        <v>0</v>
      </c>
      <c r="L76" s="37"/>
      <c r="M76" s="7"/>
      <c r="O76" s="7"/>
      <c r="P76" s="7"/>
      <c r="R76" s="351"/>
    </row>
    <row r="77" spans="1:18" x14ac:dyDescent="0.25">
      <c r="A77" s="999"/>
      <c r="B77" t="s">
        <v>370</v>
      </c>
      <c r="C77" t="s">
        <v>306</v>
      </c>
      <c r="D77" t="s">
        <v>351</v>
      </c>
      <c r="F77" s="664">
        <f>'2223 MFG Protection'!F80</f>
        <v>0</v>
      </c>
      <c r="G77" s="664">
        <f>'2223 MFG Protection'!G80</f>
        <v>0</v>
      </c>
      <c r="H77" s="664">
        <f>'2223 MFG Protection'!H80</f>
        <v>0</v>
      </c>
      <c r="I77" s="664">
        <f>'2223 MFG Protection'!I80</f>
        <v>0</v>
      </c>
      <c r="J77" s="664">
        <f>'2223 MFG Protection'!J80</f>
        <v>0</v>
      </c>
      <c r="K77" s="664">
        <f>'2223 MFG Protection'!K80</f>
        <v>0</v>
      </c>
      <c r="L77" s="37"/>
      <c r="M77" s="7"/>
      <c r="O77" s="7"/>
      <c r="P77" s="7"/>
      <c r="R77" s="351"/>
    </row>
    <row r="78" spans="1:18" x14ac:dyDescent="0.25">
      <c r="A78" s="999">
        <v>9257008</v>
      </c>
      <c r="B78" t="str">
        <f>CONCATENATE(A78,C78)</f>
        <v>9257008b</v>
      </c>
      <c r="C78" t="s">
        <v>353</v>
      </c>
      <c r="D78" t="s">
        <v>354</v>
      </c>
      <c r="F78" s="664">
        <v>103</v>
      </c>
      <c r="G78" s="664">
        <v>102</v>
      </c>
      <c r="H78" s="664">
        <v>468</v>
      </c>
      <c r="I78" s="664">
        <v>500</v>
      </c>
      <c r="J78" s="664">
        <v>500</v>
      </c>
      <c r="K78" s="664">
        <v>363</v>
      </c>
      <c r="L78" s="37"/>
      <c r="M78" s="7"/>
      <c r="R78" s="351"/>
    </row>
    <row r="79" spans="1:18" x14ac:dyDescent="0.25">
      <c r="A79" s="999"/>
      <c r="B79" t="s">
        <v>371</v>
      </c>
      <c r="C79" t="s">
        <v>312</v>
      </c>
      <c r="D79" t="s">
        <v>351</v>
      </c>
      <c r="F79" s="140">
        <f t="shared" ref="F79:K79" si="30">IF(F77-F78&gt;0,(F77-F78),(0))</f>
        <v>0</v>
      </c>
      <c r="G79" s="140">
        <f t="shared" si="30"/>
        <v>0</v>
      </c>
      <c r="H79" s="140">
        <f t="shared" si="30"/>
        <v>0</v>
      </c>
      <c r="I79" s="140">
        <f t="shared" si="30"/>
        <v>0</v>
      </c>
      <c r="J79" s="140">
        <f t="shared" si="30"/>
        <v>0</v>
      </c>
      <c r="K79" s="140">
        <f t="shared" si="30"/>
        <v>0</v>
      </c>
      <c r="L79" s="37"/>
      <c r="M79" s="7"/>
      <c r="R79" s="351"/>
    </row>
    <row r="80" spans="1:18" x14ac:dyDescent="0.25">
      <c r="A80" s="999">
        <v>9257008</v>
      </c>
      <c r="B80" t="str">
        <f>CONCATENATE(A80,C80)</f>
        <v>9257008c</v>
      </c>
      <c r="C80" t="s">
        <v>357</v>
      </c>
      <c r="D80" t="s">
        <v>217</v>
      </c>
      <c r="F80" s="7">
        <f t="shared" ref="F80:K80" si="31">IF(F79&lt;0,0,(F79*F76))</f>
        <v>0</v>
      </c>
      <c r="G80" s="7">
        <f t="shared" si="31"/>
        <v>0</v>
      </c>
      <c r="H80" s="7">
        <f t="shared" si="31"/>
        <v>0</v>
      </c>
      <c r="I80" s="7">
        <f t="shared" si="31"/>
        <v>0</v>
      </c>
      <c r="J80" s="7">
        <f t="shared" si="31"/>
        <v>0</v>
      </c>
      <c r="K80" s="7">
        <f t="shared" si="31"/>
        <v>0</v>
      </c>
      <c r="L80" s="141">
        <f>SUM(F80:K80)</f>
        <v>0</v>
      </c>
      <c r="M80" s="140">
        <f>L80-O73</f>
        <v>0</v>
      </c>
      <c r="R80" s="351"/>
    </row>
    <row r="81" spans="1:18" x14ac:dyDescent="0.25">
      <c r="A81" s="1005"/>
      <c r="D81" t="s">
        <v>401</v>
      </c>
      <c r="F81" s="670">
        <v>0</v>
      </c>
      <c r="G81" s="670">
        <v>0</v>
      </c>
      <c r="H81" s="670">
        <v>0</v>
      </c>
      <c r="I81" s="670">
        <v>0</v>
      </c>
      <c r="J81" s="670">
        <v>0</v>
      </c>
      <c r="K81" s="670">
        <v>0</v>
      </c>
      <c r="L81" s="141"/>
      <c r="M81" s="140"/>
      <c r="R81" s="351"/>
    </row>
    <row r="82" spans="1:18" x14ac:dyDescent="0.25">
      <c r="A82" s="171"/>
      <c r="B82" s="171" t="s">
        <v>75</v>
      </c>
      <c r="C82" s="171"/>
      <c r="D82" s="171"/>
      <c r="E82" s="172"/>
      <c r="F82" s="173"/>
      <c r="G82" s="173"/>
      <c r="H82" s="173"/>
      <c r="I82" s="173"/>
      <c r="J82" s="173"/>
      <c r="K82" s="173"/>
      <c r="L82" s="173"/>
      <c r="M82" s="173"/>
      <c r="N82" s="172"/>
      <c r="O82" s="172"/>
      <c r="P82" s="172"/>
      <c r="Q82" s="172"/>
    </row>
    <row r="83" spans="1:18" x14ac:dyDescent="0.25">
      <c r="A83" s="999">
        <v>9257034</v>
      </c>
      <c r="B83" t="str">
        <f>CONCATENATE(A83,C83)</f>
        <v>92570342022/23</v>
      </c>
      <c r="C83" s="667" t="s">
        <v>306</v>
      </c>
      <c r="D83" t="s">
        <v>346</v>
      </c>
      <c r="E83" s="37">
        <f>SUM(F83:K83)</f>
        <v>91.462770061728406</v>
      </c>
      <c r="F83" s="673">
        <f>'2223 MFG Protection'!F92</f>
        <v>48.923363095238102</v>
      </c>
      <c r="G83" s="673">
        <f>'2223 MFG Protection'!G92</f>
        <v>31.227678571428569</v>
      </c>
      <c r="H83" s="673">
        <f>'2223 MFG Protection'!H92</f>
        <v>11.311728395061728</v>
      </c>
      <c r="I83" s="673">
        <f>'2223 MFG Protection'!I92</f>
        <v>0</v>
      </c>
      <c r="J83" s="673">
        <f>'2223 MFG Protection'!J92</f>
        <v>0</v>
      </c>
      <c r="K83" s="673">
        <f>'2223 MFG Protection'!K92</f>
        <v>0</v>
      </c>
      <c r="L83" s="169"/>
      <c r="N83" s="7"/>
      <c r="O83" s="140">
        <f>'2223 MFG Protection'!L91</f>
        <v>34011.53444176296</v>
      </c>
      <c r="R83" s="351"/>
    </row>
    <row r="84" spans="1:18" x14ac:dyDescent="0.25">
      <c r="A84" s="999">
        <v>9257034</v>
      </c>
      <c r="B84" t="str">
        <f>CONCATENATE(A84,C84)</f>
        <v>92570342023/24</v>
      </c>
      <c r="C84" t="s">
        <v>312</v>
      </c>
      <c r="D84" t="str">
        <f>CONCATENATE(A84,C84)</f>
        <v>92570342023/24</v>
      </c>
      <c r="E84" s="37">
        <f>VLOOKUP(A84,'2324 Funding Detail'!$A$4:$M$20,13,(FALSE))</f>
        <v>128.33333333333334</v>
      </c>
      <c r="F84" s="549">
        <f>$E$84*'2324 Band Calculations'!D13</f>
        <v>54.843304843304843</v>
      </c>
      <c r="G84" s="549">
        <f>$E$84*'2324 Band Calculations'!E13</f>
        <v>44.971509971509974</v>
      </c>
      <c r="H84" s="549">
        <f>$E$84*'2324 Band Calculations'!F13</f>
        <v>12.065527065527066</v>
      </c>
      <c r="I84" s="549">
        <f>$E$84*'2324 Band Calculations'!G13</f>
        <v>6.5811965811965818</v>
      </c>
      <c r="J84" s="549">
        <f>$E$84*'2324 Band Calculations'!H13</f>
        <v>3.2905982905982909</v>
      </c>
      <c r="K84" s="549">
        <f>$E$84*'2324 Band Calculations'!I13</f>
        <v>5.484330484330485</v>
      </c>
      <c r="L84" s="169">
        <f>$E$84*'2324 Band Calculations'!J13</f>
        <v>1.096866096866097</v>
      </c>
      <c r="N84" s="7"/>
      <c r="R84" s="351"/>
    </row>
    <row r="85" spans="1:18" x14ac:dyDescent="0.25">
      <c r="A85" s="999">
        <v>9257034</v>
      </c>
      <c r="B85" t="str">
        <f>CONCATENATE(A85,C85)</f>
        <v>9257034</v>
      </c>
      <c r="F85" s="170">
        <f t="shared" ref="F85:K85" si="32">F84-F83</f>
        <v>5.9199417480667407</v>
      </c>
      <c r="G85" s="170">
        <f t="shared" si="32"/>
        <v>13.743831400081405</v>
      </c>
      <c r="H85" s="170">
        <f t="shared" si="32"/>
        <v>0.75379867046533811</v>
      </c>
      <c r="I85" s="170">
        <f t="shared" si="32"/>
        <v>6.5811965811965818</v>
      </c>
      <c r="J85" s="170">
        <f t="shared" si="32"/>
        <v>3.2905982905982909</v>
      </c>
      <c r="K85" s="170">
        <f t="shared" si="32"/>
        <v>5.484330484330485</v>
      </c>
      <c r="R85" s="351"/>
    </row>
    <row r="86" spans="1:18" x14ac:dyDescent="0.25">
      <c r="A86" s="999">
        <v>9257034</v>
      </c>
      <c r="B86" t="str">
        <f>CONCATENATE(A86,C86)</f>
        <v>9257034a</v>
      </c>
      <c r="C86" t="s">
        <v>349</v>
      </c>
      <c r="D86" t="s">
        <v>346</v>
      </c>
      <c r="F86" s="549">
        <f t="shared" ref="F86:K86" si="33">IF(F83&gt;F84,(F84),(F83))</f>
        <v>48.923363095238102</v>
      </c>
      <c r="G86" s="549">
        <f t="shared" si="33"/>
        <v>31.227678571428569</v>
      </c>
      <c r="H86" s="549">
        <f t="shared" si="33"/>
        <v>11.311728395061728</v>
      </c>
      <c r="I86" s="549">
        <f t="shared" si="33"/>
        <v>0</v>
      </c>
      <c r="J86" s="549">
        <f t="shared" si="33"/>
        <v>0</v>
      </c>
      <c r="K86" s="549">
        <f t="shared" si="33"/>
        <v>0</v>
      </c>
      <c r="L86" s="37"/>
      <c r="M86" s="7"/>
      <c r="O86" s="7"/>
      <c r="P86" s="7"/>
      <c r="R86" s="351"/>
    </row>
    <row r="87" spans="1:18" x14ac:dyDescent="0.25">
      <c r="A87" s="999"/>
      <c r="B87" t="s">
        <v>372</v>
      </c>
      <c r="C87" t="s">
        <v>306</v>
      </c>
      <c r="D87" t="s">
        <v>351</v>
      </c>
      <c r="F87" s="664">
        <f>'2223 MFG Protection'!F90</f>
        <v>438.22319297605691</v>
      </c>
      <c r="G87" s="664">
        <f>'2223 MFG Protection'!G90</f>
        <v>396.47750499364747</v>
      </c>
      <c r="H87" s="664">
        <f>'2223 MFG Protection'!H90</f>
        <v>16.894851221903082</v>
      </c>
      <c r="I87" s="664">
        <f>'2223 MFG Protection'!I90</f>
        <v>0</v>
      </c>
      <c r="J87" s="664">
        <f>'2223 MFG Protection'!J90</f>
        <v>0</v>
      </c>
      <c r="K87" s="664">
        <f>'2223 MFG Protection'!K90</f>
        <v>0</v>
      </c>
      <c r="L87" s="37"/>
      <c r="M87" s="7"/>
      <c r="O87" s="7"/>
      <c r="P87" s="7"/>
      <c r="R87" s="351"/>
    </row>
    <row r="88" spans="1:18" x14ac:dyDescent="0.25">
      <c r="A88" s="999">
        <v>9257034</v>
      </c>
      <c r="B88" t="str">
        <f>CONCATENATE(A88,C88)</f>
        <v>9257034b</v>
      </c>
      <c r="C88" t="s">
        <v>353</v>
      </c>
      <c r="D88" t="s">
        <v>354</v>
      </c>
      <c r="F88" s="664">
        <v>103</v>
      </c>
      <c r="G88" s="664">
        <v>102</v>
      </c>
      <c r="H88" s="664">
        <v>468</v>
      </c>
      <c r="I88" s="664">
        <v>500</v>
      </c>
      <c r="J88" s="664">
        <v>500</v>
      </c>
      <c r="K88" s="664">
        <v>363</v>
      </c>
      <c r="L88" s="37"/>
      <c r="M88" s="7"/>
      <c r="R88" s="351"/>
    </row>
    <row r="89" spans="1:18" x14ac:dyDescent="0.25">
      <c r="A89" s="999"/>
      <c r="B89" t="s">
        <v>373</v>
      </c>
      <c r="C89" t="s">
        <v>312</v>
      </c>
      <c r="D89" t="s">
        <v>351</v>
      </c>
      <c r="F89" s="140">
        <f t="shared" ref="F89:K89" si="34">IF(F87-F88&gt;0,(F87-F88),(0))</f>
        <v>335.22319297605691</v>
      </c>
      <c r="G89" s="140">
        <f t="shared" si="34"/>
        <v>294.47750499364747</v>
      </c>
      <c r="H89" s="140">
        <f t="shared" si="34"/>
        <v>0</v>
      </c>
      <c r="I89" s="140">
        <f t="shared" si="34"/>
        <v>0</v>
      </c>
      <c r="J89" s="140">
        <f t="shared" si="34"/>
        <v>0</v>
      </c>
      <c r="K89" s="140">
        <f t="shared" si="34"/>
        <v>0</v>
      </c>
      <c r="L89" s="37"/>
      <c r="M89" s="7"/>
      <c r="R89" s="351"/>
    </row>
    <row r="90" spans="1:18" x14ac:dyDescent="0.25">
      <c r="A90" s="999">
        <v>9257034</v>
      </c>
      <c r="B90" t="str">
        <f>CONCATENATE(A90,C90)</f>
        <v>9257034c</v>
      </c>
      <c r="C90" t="s">
        <v>357</v>
      </c>
      <c r="D90" t="s">
        <v>217</v>
      </c>
      <c r="F90" s="7">
        <f t="shared" ref="F90:K90" si="35">IF(F89&lt;0,0,(F89*F86))</f>
        <v>16400.245987912702</v>
      </c>
      <c r="G90" s="7">
        <f t="shared" si="35"/>
        <v>9195.8488724578747</v>
      </c>
      <c r="H90" s="7">
        <f t="shared" si="35"/>
        <v>0</v>
      </c>
      <c r="I90" s="7">
        <f t="shared" si="35"/>
        <v>0</v>
      </c>
      <c r="J90" s="7">
        <f t="shared" si="35"/>
        <v>0</v>
      </c>
      <c r="K90" s="7">
        <f t="shared" si="35"/>
        <v>0</v>
      </c>
      <c r="L90" s="141">
        <f>SUM(F90:K90)</f>
        <v>25596.094860370576</v>
      </c>
      <c r="M90" s="140">
        <f>L90-O83</f>
        <v>-8415.4395813923838</v>
      </c>
      <c r="R90" s="351"/>
    </row>
    <row r="91" spans="1:18" x14ac:dyDescent="0.25">
      <c r="A91" s="1005"/>
      <c r="D91" t="s">
        <v>401</v>
      </c>
      <c r="F91" s="670">
        <v>48.923363095238102</v>
      </c>
      <c r="G91" s="670">
        <v>31.227678571428569</v>
      </c>
      <c r="H91" s="670">
        <v>11.311728395061728</v>
      </c>
      <c r="I91" s="670">
        <v>0</v>
      </c>
      <c r="J91" s="670">
        <v>0</v>
      </c>
      <c r="K91" s="670">
        <v>0</v>
      </c>
      <c r="L91" s="141"/>
      <c r="M91" s="140"/>
      <c r="R91" s="351"/>
    </row>
    <row r="92" spans="1:18" x14ac:dyDescent="0.25">
      <c r="A92" s="171"/>
      <c r="B92" s="171" t="s">
        <v>68</v>
      </c>
      <c r="C92" s="171"/>
      <c r="D92" s="171"/>
      <c r="E92" s="172"/>
      <c r="F92" s="173"/>
      <c r="G92" s="173"/>
      <c r="H92" s="173"/>
      <c r="I92" s="173"/>
      <c r="J92" s="173"/>
      <c r="K92" s="173"/>
      <c r="L92" s="173"/>
      <c r="M92" s="173"/>
      <c r="N92" s="172"/>
      <c r="O92" s="172"/>
      <c r="P92" s="172"/>
      <c r="Q92" s="172"/>
    </row>
    <row r="93" spans="1:18" x14ac:dyDescent="0.25">
      <c r="A93" s="999">
        <v>9257002</v>
      </c>
      <c r="B93" t="str">
        <f>CONCATENATE(A93,C93)</f>
        <v>92570022022/23</v>
      </c>
      <c r="C93" s="667" t="s">
        <v>306</v>
      </c>
      <c r="D93" t="s">
        <v>346</v>
      </c>
      <c r="E93" s="37">
        <f>SUM(F93:K93)</f>
        <v>0</v>
      </c>
      <c r="F93" s="670">
        <f>'2223 MFG Protection'!F102</f>
        <v>0</v>
      </c>
      <c r="G93" s="670">
        <f>'2223 MFG Protection'!G102</f>
        <v>0</v>
      </c>
      <c r="H93" s="670">
        <f>'2223 MFG Protection'!H102</f>
        <v>0</v>
      </c>
      <c r="I93" s="670">
        <f>'2223 MFG Protection'!I102</f>
        <v>0</v>
      </c>
      <c r="J93" s="670">
        <f>'2223 MFG Protection'!J102</f>
        <v>0</v>
      </c>
      <c r="K93" s="670">
        <f>'2223 MFG Protection'!K102</f>
        <v>0</v>
      </c>
      <c r="L93" s="37"/>
      <c r="N93" s="7"/>
      <c r="O93" s="140">
        <f>'2223 MFG Protection'!L101</f>
        <v>0</v>
      </c>
      <c r="R93" s="351"/>
    </row>
    <row r="94" spans="1:18" x14ac:dyDescent="0.25">
      <c r="A94" s="999">
        <v>9257002</v>
      </c>
      <c r="B94" t="str">
        <f>CONCATENATE(A94,C94)</f>
        <v>92570022023/24</v>
      </c>
      <c r="C94" t="s">
        <v>312</v>
      </c>
      <c r="D94" t="str">
        <f>CONCATENATE(A94,C94)</f>
        <v>92570022023/24</v>
      </c>
      <c r="E94" s="37">
        <f>VLOOKUP(A94,'2324 Funding Detail'!$A$4:$M$20,13,(FALSE))</f>
        <v>168.91666666666669</v>
      </c>
      <c r="F94" s="549">
        <f>$E$94*'2324 Band Calculations'!D14</f>
        <v>29.869410569105693</v>
      </c>
      <c r="G94" s="549">
        <f>$E$94*'2324 Band Calculations'!E14</f>
        <v>87.54827235772359</v>
      </c>
      <c r="H94" s="549">
        <f>$E$94*'2324 Band Calculations'!F14</f>
        <v>21.62957317073171</v>
      </c>
      <c r="I94" s="549">
        <f>$E$94*'2324 Band Calculations'!G14</f>
        <v>6.1798780487804885</v>
      </c>
      <c r="J94" s="549">
        <f>$E$94*'2324 Band Calculations'!H14</f>
        <v>5.1498983739837403</v>
      </c>
      <c r="K94" s="549">
        <f>$E$94*'2324 Band Calculations'!I14</f>
        <v>16.479674796747968</v>
      </c>
      <c r="L94" s="169">
        <f>$E$94*'2324 Band Calculations'!J14</f>
        <v>2.059959349593496</v>
      </c>
      <c r="N94" s="7"/>
      <c r="R94" s="351"/>
    </row>
    <row r="95" spans="1:18" x14ac:dyDescent="0.25">
      <c r="A95" s="999">
        <v>9257002</v>
      </c>
      <c r="B95" t="str">
        <f>CONCATENATE(A95,C95)</f>
        <v>9257002</v>
      </c>
      <c r="F95" s="170">
        <f t="shared" ref="F95:K95" si="36">F94-F93</f>
        <v>29.869410569105693</v>
      </c>
      <c r="G95" s="170">
        <f t="shared" si="36"/>
        <v>87.54827235772359</v>
      </c>
      <c r="H95" s="170">
        <f t="shared" si="36"/>
        <v>21.62957317073171</v>
      </c>
      <c r="I95" s="170">
        <f t="shared" si="36"/>
        <v>6.1798780487804885</v>
      </c>
      <c r="J95" s="170">
        <f t="shared" si="36"/>
        <v>5.1498983739837403</v>
      </c>
      <c r="K95" s="170">
        <f t="shared" si="36"/>
        <v>16.479674796747968</v>
      </c>
      <c r="R95" s="351"/>
    </row>
    <row r="96" spans="1:18" x14ac:dyDescent="0.25">
      <c r="A96" s="999">
        <v>9257002</v>
      </c>
      <c r="B96" t="str">
        <f>CONCATENATE(A96,C96)</f>
        <v>9257002a</v>
      </c>
      <c r="C96" t="s">
        <v>349</v>
      </c>
      <c r="D96" t="s">
        <v>346</v>
      </c>
      <c r="F96" s="549">
        <f t="shared" ref="F96:K96" si="37">IF(F93&gt;F94,(F94),(F93))</f>
        <v>0</v>
      </c>
      <c r="G96" s="549">
        <f t="shared" si="37"/>
        <v>0</v>
      </c>
      <c r="H96" s="549">
        <f t="shared" si="37"/>
        <v>0</v>
      </c>
      <c r="I96" s="549">
        <f t="shared" si="37"/>
        <v>0</v>
      </c>
      <c r="J96" s="549">
        <f t="shared" si="37"/>
        <v>0</v>
      </c>
      <c r="K96" s="549">
        <f t="shared" si="37"/>
        <v>0</v>
      </c>
      <c r="L96" s="37"/>
      <c r="M96" s="7"/>
      <c r="O96" s="7"/>
      <c r="P96" s="7"/>
      <c r="R96" s="351"/>
    </row>
    <row r="97" spans="1:18" x14ac:dyDescent="0.25">
      <c r="A97" s="999"/>
      <c r="B97" t="s">
        <v>374</v>
      </c>
      <c r="C97" t="s">
        <v>306</v>
      </c>
      <c r="D97" t="s">
        <v>351</v>
      </c>
      <c r="F97" s="664">
        <f>'2223 MFG Protection'!F100</f>
        <v>0</v>
      </c>
      <c r="G97" s="664">
        <f>'2223 MFG Protection'!G100</f>
        <v>0</v>
      </c>
      <c r="H97" s="664">
        <f>'2223 MFG Protection'!H100</f>
        <v>0</v>
      </c>
      <c r="I97" s="664">
        <f>'2223 MFG Protection'!I100</f>
        <v>0</v>
      </c>
      <c r="J97" s="664">
        <f>'2223 MFG Protection'!J100</f>
        <v>0</v>
      </c>
      <c r="K97" s="664">
        <f>'2223 MFG Protection'!K100</f>
        <v>0</v>
      </c>
      <c r="L97" s="37"/>
      <c r="M97" s="7"/>
      <c r="O97" s="7"/>
      <c r="P97" s="7"/>
      <c r="R97" s="351"/>
    </row>
    <row r="98" spans="1:18" x14ac:dyDescent="0.25">
      <c r="A98" s="999">
        <v>9257002</v>
      </c>
      <c r="B98" t="str">
        <f>CONCATENATE(A98,C98)</f>
        <v>9257002b</v>
      </c>
      <c r="C98" t="s">
        <v>353</v>
      </c>
      <c r="D98" t="s">
        <v>354</v>
      </c>
      <c r="F98" s="664">
        <v>103</v>
      </c>
      <c r="G98" s="664">
        <v>102</v>
      </c>
      <c r="H98" s="664">
        <v>468</v>
      </c>
      <c r="I98" s="664">
        <v>500</v>
      </c>
      <c r="J98" s="664">
        <v>500</v>
      </c>
      <c r="K98" s="664">
        <v>363</v>
      </c>
      <c r="L98" s="37"/>
      <c r="M98" s="7"/>
      <c r="O98" s="7"/>
      <c r="P98" s="7"/>
      <c r="R98" s="351"/>
    </row>
    <row r="99" spans="1:18" x14ac:dyDescent="0.25">
      <c r="A99" s="999"/>
      <c r="B99" t="s">
        <v>375</v>
      </c>
      <c r="C99" t="s">
        <v>312</v>
      </c>
      <c r="D99" t="s">
        <v>351</v>
      </c>
      <c r="F99" s="140">
        <f t="shared" ref="F99:K99" si="38">IF(F97-F98&gt;0,(F97-F98),(0))</f>
        <v>0</v>
      </c>
      <c r="G99" s="140">
        <f t="shared" si="38"/>
        <v>0</v>
      </c>
      <c r="H99" s="140">
        <f t="shared" si="38"/>
        <v>0</v>
      </c>
      <c r="I99" s="140">
        <f t="shared" si="38"/>
        <v>0</v>
      </c>
      <c r="J99" s="140">
        <f t="shared" si="38"/>
        <v>0</v>
      </c>
      <c r="K99" s="140">
        <f t="shared" si="38"/>
        <v>0</v>
      </c>
      <c r="L99" s="37"/>
      <c r="M99" s="7"/>
      <c r="O99" s="7"/>
      <c r="P99" s="7"/>
      <c r="R99" s="351"/>
    </row>
    <row r="100" spans="1:18" x14ac:dyDescent="0.25">
      <c r="A100" s="999">
        <v>9257002</v>
      </c>
      <c r="B100" t="str">
        <f>CONCATENATE(A100,C100)</f>
        <v>9257002c</v>
      </c>
      <c r="C100" t="s">
        <v>357</v>
      </c>
      <c r="D100" t="s">
        <v>217</v>
      </c>
      <c r="F100" s="7">
        <f t="shared" ref="F100:K100" si="39">IF(F99&lt;0,0,(F99*F96))</f>
        <v>0</v>
      </c>
      <c r="G100" s="7">
        <f t="shared" si="39"/>
        <v>0</v>
      </c>
      <c r="H100" s="7">
        <f t="shared" si="39"/>
        <v>0</v>
      </c>
      <c r="I100" s="7">
        <f t="shared" si="39"/>
        <v>0</v>
      </c>
      <c r="J100" s="7">
        <f t="shared" si="39"/>
        <v>0</v>
      </c>
      <c r="K100" s="7">
        <f t="shared" si="39"/>
        <v>0</v>
      </c>
      <c r="L100" s="141">
        <f>SUM(F100:K100)</f>
        <v>0</v>
      </c>
      <c r="M100" s="140">
        <f>L100-O93</f>
        <v>0</v>
      </c>
      <c r="O100" s="7"/>
      <c r="P100" s="7"/>
      <c r="R100" s="351"/>
    </row>
    <row r="101" spans="1:18" x14ac:dyDescent="0.25">
      <c r="A101" s="1005"/>
      <c r="D101" t="s">
        <v>401</v>
      </c>
      <c r="F101" s="670">
        <v>0</v>
      </c>
      <c r="G101" s="670">
        <v>0</v>
      </c>
      <c r="H101" s="670">
        <v>0</v>
      </c>
      <c r="I101" s="670">
        <v>0</v>
      </c>
      <c r="J101" s="670">
        <v>0</v>
      </c>
      <c r="K101" s="670">
        <v>0</v>
      </c>
      <c r="L101" s="141"/>
      <c r="M101" s="140"/>
      <c r="O101" s="7"/>
      <c r="P101" s="7"/>
      <c r="R101" s="351"/>
    </row>
    <row r="102" spans="1:18" x14ac:dyDescent="0.25">
      <c r="A102" s="171"/>
      <c r="B102" s="171" t="s">
        <v>69</v>
      </c>
      <c r="C102" s="171"/>
      <c r="D102" s="171"/>
      <c r="E102" s="172"/>
      <c r="F102" s="173"/>
      <c r="G102" s="173"/>
      <c r="H102" s="173"/>
      <c r="I102" s="173"/>
      <c r="J102" s="173"/>
      <c r="K102" s="173"/>
      <c r="L102" s="173"/>
      <c r="M102" s="173"/>
      <c r="N102" s="172"/>
      <c r="O102" s="172"/>
      <c r="P102" s="172"/>
      <c r="Q102" s="172"/>
    </row>
    <row r="103" spans="1:18" x14ac:dyDescent="0.25">
      <c r="A103" s="341">
        <v>9257009</v>
      </c>
      <c r="B103" t="str">
        <f>CONCATENATE(A103,C103)</f>
        <v>92570092022/23</v>
      </c>
      <c r="C103" s="667" t="s">
        <v>306</v>
      </c>
      <c r="D103" t="s">
        <v>346</v>
      </c>
      <c r="E103" s="37">
        <f>SUM(F103:K103)</f>
        <v>91.207316132515729</v>
      </c>
      <c r="F103" s="670">
        <f>'2223 MFG Protection'!F112</f>
        <v>23.122739018087856</v>
      </c>
      <c r="G103" s="670">
        <f>'2223 MFG Protection'!G112</f>
        <v>68.084577114427873</v>
      </c>
      <c r="H103" s="670">
        <f>'2223 MFG Protection'!H112</f>
        <v>0</v>
      </c>
      <c r="I103" s="670">
        <f>'2223 MFG Protection'!I112</f>
        <v>0</v>
      </c>
      <c r="J103" s="670">
        <f>'2223 MFG Protection'!J112</f>
        <v>0</v>
      </c>
      <c r="K103" s="670">
        <f>'2223 MFG Protection'!K112</f>
        <v>0</v>
      </c>
      <c r="L103" s="37"/>
      <c r="M103" s="7"/>
      <c r="N103" s="7"/>
      <c r="O103" s="140">
        <f>'2223 MFG Protection'!L111</f>
        <v>34686.323739454252</v>
      </c>
      <c r="R103" s="351"/>
    </row>
    <row r="104" spans="1:18" x14ac:dyDescent="0.25">
      <c r="A104" s="341">
        <v>9257009</v>
      </c>
      <c r="B104" t="str">
        <f>CONCATENATE(A104,C104)</f>
        <v>92570092023/24</v>
      </c>
      <c r="C104" t="s">
        <v>312</v>
      </c>
      <c r="D104" t="str">
        <f>CONCATENATE(A104,C104)</f>
        <v>92570092023/24</v>
      </c>
      <c r="E104" s="37">
        <f>VLOOKUP(A104,'2324 Funding Detail'!$A$4:$M$20,13,(FALSE))</f>
        <v>207.83333333333337</v>
      </c>
      <c r="F104" s="549">
        <f>$E$104*'2324 Band Calculations'!D15</f>
        <v>35.869712351945857</v>
      </c>
      <c r="G104" s="549">
        <f>$E$104*'2324 Band Calculations'!E15</f>
        <v>105.49915397631135</v>
      </c>
      <c r="H104" s="549">
        <f>$E$104*'2324 Band Calculations'!F15</f>
        <v>13.714890016920476</v>
      </c>
      <c r="I104" s="549">
        <f>$E$104*'2324 Band Calculations'!G15</f>
        <v>16.879864636209817</v>
      </c>
      <c r="J104" s="549">
        <f>$E$104*'2324 Band Calculations'!H15</f>
        <v>7.3849407783417957</v>
      </c>
      <c r="K104" s="549">
        <f>$E$104*'2324 Band Calculations'!I15</f>
        <v>17.934856175972929</v>
      </c>
      <c r="L104" s="169">
        <f>$E$104*'2324 Band Calculations'!J15</f>
        <v>10.549915397631136</v>
      </c>
      <c r="N104" s="7"/>
      <c r="R104" s="351"/>
    </row>
    <row r="105" spans="1:18" x14ac:dyDescent="0.25">
      <c r="A105" s="341">
        <v>9257009</v>
      </c>
      <c r="B105" t="str">
        <f>CONCATENATE(A105,C105)</f>
        <v>9257009</v>
      </c>
      <c r="F105" s="170">
        <f t="shared" ref="F105:K105" si="40">F104-F103</f>
        <v>12.746973333858001</v>
      </c>
      <c r="G105" s="170">
        <f t="shared" si="40"/>
        <v>37.414576861883475</v>
      </c>
      <c r="H105" s="170">
        <f t="shared" si="40"/>
        <v>13.714890016920476</v>
      </c>
      <c r="I105" s="170">
        <f t="shared" si="40"/>
        <v>16.879864636209817</v>
      </c>
      <c r="J105" s="170">
        <f t="shared" si="40"/>
        <v>7.3849407783417957</v>
      </c>
      <c r="K105" s="170">
        <f t="shared" si="40"/>
        <v>17.934856175972929</v>
      </c>
      <c r="L105" s="37">
        <f>L103+L104</f>
        <v>10.549915397631136</v>
      </c>
      <c r="M105" s="7"/>
      <c r="R105" s="351"/>
    </row>
    <row r="106" spans="1:18" x14ac:dyDescent="0.25">
      <c r="A106" s="341">
        <v>9257009</v>
      </c>
      <c r="B106" t="str">
        <f>CONCATENATE(A106,C106)</f>
        <v>9257009a</v>
      </c>
      <c r="C106" t="s">
        <v>349</v>
      </c>
      <c r="D106" t="s">
        <v>346</v>
      </c>
      <c r="F106" s="549">
        <f t="shared" ref="F106:K106" si="41">IF(F103&gt;F104,(F104),(F103))</f>
        <v>23.122739018087856</v>
      </c>
      <c r="G106" s="549">
        <f t="shared" si="41"/>
        <v>68.084577114427873</v>
      </c>
      <c r="H106" s="549">
        <f t="shared" si="41"/>
        <v>0</v>
      </c>
      <c r="I106" s="549">
        <f t="shared" si="41"/>
        <v>0</v>
      </c>
      <c r="J106" s="549">
        <f t="shared" si="41"/>
        <v>0</v>
      </c>
      <c r="K106" s="549">
        <f t="shared" si="41"/>
        <v>0</v>
      </c>
      <c r="L106" s="37"/>
      <c r="M106" s="7"/>
      <c r="R106" s="351"/>
    </row>
    <row r="107" spans="1:18" x14ac:dyDescent="0.25">
      <c r="A107" s="341"/>
      <c r="B107" t="s">
        <v>376</v>
      </c>
      <c r="C107" t="s">
        <v>306</v>
      </c>
      <c r="D107" t="s">
        <v>351</v>
      </c>
      <c r="F107" s="664">
        <f>'2223 MFG Protection'!F110</f>
        <v>411.46437416886545</v>
      </c>
      <c r="G107" s="664">
        <f>'2223 MFG Protection'!G110</f>
        <v>369.71868618645601</v>
      </c>
      <c r="H107" s="664">
        <f>'2223 MFG Protection'!H110</f>
        <v>0</v>
      </c>
      <c r="I107" s="664">
        <f>'2223 MFG Protection'!I110</f>
        <v>0</v>
      </c>
      <c r="J107" s="664">
        <f>'2223 MFG Protection'!J110</f>
        <v>0</v>
      </c>
      <c r="K107" s="664">
        <f>'2223 MFG Protection'!K110</f>
        <v>0</v>
      </c>
      <c r="L107" s="37"/>
      <c r="M107" s="7"/>
      <c r="R107" s="351"/>
    </row>
    <row r="108" spans="1:18" x14ac:dyDescent="0.25">
      <c r="A108" s="341">
        <v>9257009</v>
      </c>
      <c r="B108" t="str">
        <f>CONCATENATE(A108,C108)</f>
        <v>9257009b</v>
      </c>
      <c r="C108" t="s">
        <v>353</v>
      </c>
      <c r="D108" t="s">
        <v>354</v>
      </c>
      <c r="F108" s="664">
        <v>103</v>
      </c>
      <c r="G108" s="664">
        <v>102</v>
      </c>
      <c r="H108" s="664">
        <v>468</v>
      </c>
      <c r="I108" s="664">
        <v>500</v>
      </c>
      <c r="J108" s="664">
        <v>500</v>
      </c>
      <c r="K108" s="664">
        <v>363</v>
      </c>
      <c r="L108" s="37"/>
      <c r="M108" s="7"/>
      <c r="R108" s="351"/>
    </row>
    <row r="109" spans="1:18" x14ac:dyDescent="0.25">
      <c r="A109" s="341"/>
      <c r="B109" t="s">
        <v>377</v>
      </c>
      <c r="C109" t="s">
        <v>312</v>
      </c>
      <c r="D109" t="s">
        <v>351</v>
      </c>
      <c r="F109" s="140">
        <f t="shared" ref="F109:K109" si="42">IF(F107-F108&gt;0,(F107-F108),(0))</f>
        <v>308.46437416886545</v>
      </c>
      <c r="G109" s="140">
        <f t="shared" si="42"/>
        <v>267.71868618645601</v>
      </c>
      <c r="H109" s="140">
        <f t="shared" si="42"/>
        <v>0</v>
      </c>
      <c r="I109" s="140">
        <f t="shared" si="42"/>
        <v>0</v>
      </c>
      <c r="J109" s="140">
        <f t="shared" si="42"/>
        <v>0</v>
      </c>
      <c r="K109" s="140">
        <f t="shared" si="42"/>
        <v>0</v>
      </c>
      <c r="L109" s="37"/>
      <c r="M109" s="7"/>
      <c r="R109" s="351"/>
    </row>
    <row r="110" spans="1:18" x14ac:dyDescent="0.25">
      <c r="A110" s="341">
        <v>9257009</v>
      </c>
      <c r="B110" t="str">
        <f>CONCATENATE(A110,C110)</f>
        <v>9257009c</v>
      </c>
      <c r="C110" t="s">
        <v>357</v>
      </c>
      <c r="D110" t="s">
        <v>217</v>
      </c>
      <c r="F110" s="7">
        <f t="shared" ref="F110:K110" si="43">IF(F109&lt;0,0,(F109*F106))</f>
        <v>7132.5412202844764</v>
      </c>
      <c r="G110" s="7">
        <f t="shared" si="43"/>
        <v>18227.51353463508</v>
      </c>
      <c r="H110" s="7">
        <f t="shared" si="43"/>
        <v>0</v>
      </c>
      <c r="I110" s="7">
        <f t="shared" si="43"/>
        <v>0</v>
      </c>
      <c r="J110" s="7">
        <f t="shared" si="43"/>
        <v>0</v>
      </c>
      <c r="K110" s="7">
        <f t="shared" si="43"/>
        <v>0</v>
      </c>
      <c r="L110" s="141">
        <f>SUM(F110:K110)</f>
        <v>25360.054754919554</v>
      </c>
      <c r="M110" s="140">
        <f>L110-O103</f>
        <v>-9326.2689845346977</v>
      </c>
      <c r="R110" s="351"/>
    </row>
    <row r="111" spans="1:18" x14ac:dyDescent="0.25">
      <c r="A111" s="33"/>
      <c r="D111" t="s">
        <v>401</v>
      </c>
      <c r="F111" s="670">
        <v>23.122739018087856</v>
      </c>
      <c r="G111" s="670">
        <v>68.084577114427873</v>
      </c>
      <c r="H111" s="670">
        <v>0</v>
      </c>
      <c r="I111" s="670">
        <v>0</v>
      </c>
      <c r="J111" s="670">
        <v>0</v>
      </c>
      <c r="K111" s="670">
        <v>0</v>
      </c>
      <c r="L111" s="141"/>
      <c r="M111" s="140"/>
      <c r="R111" s="351"/>
    </row>
    <row r="112" spans="1:18" x14ac:dyDescent="0.25">
      <c r="A112" s="171"/>
      <c r="B112" s="171" t="s">
        <v>278</v>
      </c>
      <c r="C112" s="171"/>
      <c r="D112" s="171"/>
      <c r="E112" s="172"/>
      <c r="F112" s="173"/>
      <c r="G112" s="173"/>
      <c r="H112" s="173"/>
      <c r="I112" s="173"/>
      <c r="J112" s="173"/>
      <c r="K112" s="173"/>
      <c r="L112" s="173"/>
      <c r="M112" s="173"/>
      <c r="N112" s="172"/>
      <c r="O112" s="172"/>
      <c r="P112" s="172"/>
      <c r="Q112" s="172"/>
    </row>
    <row r="113" spans="1:18" x14ac:dyDescent="0.25">
      <c r="A113" s="999">
        <v>9257029</v>
      </c>
      <c r="B113" t="str">
        <f>CONCATENATE(A113,C113)</f>
        <v>92570292022/23</v>
      </c>
      <c r="C113" s="667" t="s">
        <v>306</v>
      </c>
      <c r="D113" t="s">
        <v>346</v>
      </c>
      <c r="E113" s="37">
        <f>SUM(F113:K113)</f>
        <v>0</v>
      </c>
      <c r="F113" s="670">
        <f>'2223 MFG Protection'!F122</f>
        <v>0</v>
      </c>
      <c r="G113" s="670">
        <f>'2223 MFG Protection'!G122</f>
        <v>0</v>
      </c>
      <c r="H113" s="670">
        <f>'2223 MFG Protection'!H122</f>
        <v>0</v>
      </c>
      <c r="I113" s="670">
        <f>'2223 MFG Protection'!I122</f>
        <v>0</v>
      </c>
      <c r="J113" s="670">
        <f>'2223 MFG Protection'!J122</f>
        <v>0</v>
      </c>
      <c r="K113" s="670">
        <f>'2223 MFG Protection'!K122</f>
        <v>0</v>
      </c>
      <c r="L113" s="37"/>
      <c r="N113" s="7"/>
      <c r="O113" s="140">
        <f>'2223 MFG Protection'!L121</f>
        <v>0</v>
      </c>
      <c r="R113" s="351"/>
    </row>
    <row r="114" spans="1:18" x14ac:dyDescent="0.25">
      <c r="A114" s="999">
        <v>9257029</v>
      </c>
      <c r="B114" t="str">
        <f>CONCATENATE(A114,C114)</f>
        <v>92570292023/24</v>
      </c>
      <c r="C114" t="s">
        <v>312</v>
      </c>
      <c r="D114" t="str">
        <f>CONCATENATE(A114,C114)</f>
        <v>92570292023/24</v>
      </c>
      <c r="E114" s="37">
        <f>VLOOKUP(A114,'2324 Funding Detail'!$A$4:$M$20,13,(FALSE))</f>
        <v>79</v>
      </c>
      <c r="F114" s="549">
        <f>$E$114*'2324 Band Calculations'!D16</f>
        <v>0</v>
      </c>
      <c r="G114" s="549">
        <f>$E$114*'2324 Band Calculations'!E16</f>
        <v>0</v>
      </c>
      <c r="H114" s="549">
        <f>$E$114*'2324 Band Calculations'!F16</f>
        <v>79</v>
      </c>
      <c r="I114" s="549">
        <f>$E$114*'2324 Band Calculations'!G16</f>
        <v>0</v>
      </c>
      <c r="J114" s="549">
        <f>$E$114*'2324 Band Calculations'!H16</f>
        <v>0</v>
      </c>
      <c r="K114" s="549">
        <f>$E$114*'2324 Band Calculations'!I16</f>
        <v>0</v>
      </c>
      <c r="L114" s="169">
        <f>$E$114*'2324 Band Calculations'!J16</f>
        <v>0</v>
      </c>
      <c r="N114" s="7"/>
      <c r="R114" s="351"/>
    </row>
    <row r="115" spans="1:18" x14ac:dyDescent="0.25">
      <c r="A115" s="999">
        <v>9257029</v>
      </c>
      <c r="B115" t="str">
        <f>CONCATENATE(A115,C115)</f>
        <v>9257029</v>
      </c>
      <c r="F115" s="170">
        <f t="shared" ref="F115:K115" si="44">F114-F113</f>
        <v>0</v>
      </c>
      <c r="G115" s="170">
        <f t="shared" si="44"/>
        <v>0</v>
      </c>
      <c r="H115" s="170">
        <f t="shared" si="44"/>
        <v>79</v>
      </c>
      <c r="I115" s="170">
        <f t="shared" si="44"/>
        <v>0</v>
      </c>
      <c r="J115" s="170">
        <f t="shared" si="44"/>
        <v>0</v>
      </c>
      <c r="K115" s="170">
        <f t="shared" si="44"/>
        <v>0</v>
      </c>
      <c r="R115" s="351"/>
    </row>
    <row r="116" spans="1:18" x14ac:dyDescent="0.25">
      <c r="A116" s="999">
        <v>9257029</v>
      </c>
      <c r="B116" t="str">
        <f>CONCATENATE(A116,C116)</f>
        <v>9257029a</v>
      </c>
      <c r="C116" t="s">
        <v>349</v>
      </c>
      <c r="D116" t="s">
        <v>346</v>
      </c>
      <c r="F116" s="549">
        <f t="shared" ref="F116:K116" si="45">IF(F113&gt;F114,(F114),(F113))</f>
        <v>0</v>
      </c>
      <c r="G116" s="549">
        <f t="shared" si="45"/>
        <v>0</v>
      </c>
      <c r="H116" s="549">
        <f t="shared" si="45"/>
        <v>0</v>
      </c>
      <c r="I116" s="549">
        <f t="shared" si="45"/>
        <v>0</v>
      </c>
      <c r="J116" s="549">
        <f t="shared" si="45"/>
        <v>0</v>
      </c>
      <c r="K116" s="549">
        <f t="shared" si="45"/>
        <v>0</v>
      </c>
      <c r="L116" s="37"/>
      <c r="M116" s="7"/>
      <c r="O116" s="7"/>
      <c r="P116" s="7"/>
      <c r="R116" s="351"/>
    </row>
    <row r="117" spans="1:18" x14ac:dyDescent="0.25">
      <c r="A117" s="999"/>
      <c r="B117" t="s">
        <v>378</v>
      </c>
      <c r="C117" t="s">
        <v>306</v>
      </c>
      <c r="D117" t="s">
        <v>351</v>
      </c>
      <c r="F117" s="664">
        <f>'2223 MFG Protection'!F120</f>
        <v>0</v>
      </c>
      <c r="G117" s="664">
        <f>'2223 MFG Protection'!G120</f>
        <v>0</v>
      </c>
      <c r="H117" s="664">
        <f>'2223 MFG Protection'!H120</f>
        <v>0</v>
      </c>
      <c r="I117" s="664">
        <f>'2223 MFG Protection'!I120</f>
        <v>0</v>
      </c>
      <c r="J117" s="664">
        <f>'2223 MFG Protection'!J120</f>
        <v>0</v>
      </c>
      <c r="K117" s="664">
        <f>'2223 MFG Protection'!K120</f>
        <v>0</v>
      </c>
      <c r="L117" s="37"/>
      <c r="M117" s="7"/>
      <c r="O117" s="7"/>
      <c r="P117" s="7"/>
      <c r="R117" s="351"/>
    </row>
    <row r="118" spans="1:18" x14ac:dyDescent="0.25">
      <c r="A118" s="999">
        <v>9257029</v>
      </c>
      <c r="B118" t="str">
        <f>CONCATENATE(A118,C118)</f>
        <v>9257029b</v>
      </c>
      <c r="C118" t="s">
        <v>353</v>
      </c>
      <c r="D118" t="s">
        <v>354</v>
      </c>
      <c r="F118" s="664">
        <v>103</v>
      </c>
      <c r="G118" s="664">
        <v>102</v>
      </c>
      <c r="H118" s="664">
        <v>468</v>
      </c>
      <c r="I118" s="664">
        <v>500</v>
      </c>
      <c r="J118" s="664">
        <v>500</v>
      </c>
      <c r="K118" s="664">
        <v>363</v>
      </c>
      <c r="L118" s="37"/>
      <c r="M118" s="7"/>
      <c r="R118" s="351"/>
    </row>
    <row r="119" spans="1:18" x14ac:dyDescent="0.25">
      <c r="A119" s="999"/>
      <c r="B119" t="s">
        <v>379</v>
      </c>
      <c r="C119" t="s">
        <v>312</v>
      </c>
      <c r="D119" t="s">
        <v>351</v>
      </c>
      <c r="F119" s="140">
        <f t="shared" ref="F119:K119" si="46">IF(F117-F118&gt;0,(F117-F118),(0))</f>
        <v>0</v>
      </c>
      <c r="G119" s="140">
        <f t="shared" si="46"/>
        <v>0</v>
      </c>
      <c r="H119" s="140">
        <f t="shared" si="46"/>
        <v>0</v>
      </c>
      <c r="I119" s="140">
        <f t="shared" si="46"/>
        <v>0</v>
      </c>
      <c r="J119" s="140">
        <f t="shared" si="46"/>
        <v>0</v>
      </c>
      <c r="K119" s="140">
        <f t="shared" si="46"/>
        <v>0</v>
      </c>
      <c r="L119" s="37"/>
      <c r="M119" s="7"/>
      <c r="R119" s="351"/>
    </row>
    <row r="120" spans="1:18" x14ac:dyDescent="0.25">
      <c r="A120" s="999">
        <v>9257029</v>
      </c>
      <c r="B120" t="str">
        <f>CONCATENATE(A120,C120)</f>
        <v>9257029c</v>
      </c>
      <c r="C120" t="s">
        <v>357</v>
      </c>
      <c r="D120" t="s">
        <v>217</v>
      </c>
      <c r="F120" s="7">
        <f t="shared" ref="F120:K120" si="47">IF(F119&lt;0,0,(F119*F116))</f>
        <v>0</v>
      </c>
      <c r="G120" s="7">
        <f t="shared" si="47"/>
        <v>0</v>
      </c>
      <c r="H120" s="7">
        <f t="shared" si="47"/>
        <v>0</v>
      </c>
      <c r="I120" s="7">
        <f t="shared" si="47"/>
        <v>0</v>
      </c>
      <c r="J120" s="7">
        <f t="shared" si="47"/>
        <v>0</v>
      </c>
      <c r="K120" s="7">
        <f t="shared" si="47"/>
        <v>0</v>
      </c>
      <c r="L120" s="141">
        <f>SUM(F120:K120)</f>
        <v>0</v>
      </c>
      <c r="M120" s="140">
        <f>L120-O113</f>
        <v>0</v>
      </c>
      <c r="R120" s="351"/>
    </row>
    <row r="121" spans="1:18" x14ac:dyDescent="0.25">
      <c r="A121" s="1005"/>
      <c r="D121" t="s">
        <v>401</v>
      </c>
      <c r="F121" s="670">
        <v>0</v>
      </c>
      <c r="G121" s="670">
        <v>0</v>
      </c>
      <c r="H121" s="670">
        <v>0</v>
      </c>
      <c r="I121" s="670">
        <v>0</v>
      </c>
      <c r="J121" s="670">
        <v>0</v>
      </c>
      <c r="K121" s="670">
        <v>0</v>
      </c>
      <c r="L121" s="141"/>
      <c r="M121" s="140"/>
      <c r="R121" s="351"/>
    </row>
    <row r="122" spans="1:18" x14ac:dyDescent="0.25">
      <c r="A122" s="171"/>
      <c r="B122" s="171" t="s">
        <v>380</v>
      </c>
      <c r="C122" s="171"/>
      <c r="D122" s="171"/>
      <c r="E122" s="172"/>
      <c r="F122" s="173"/>
      <c r="G122" s="173"/>
      <c r="H122" s="173"/>
      <c r="I122" s="173"/>
      <c r="J122" s="173"/>
      <c r="K122" s="173"/>
      <c r="L122" s="173"/>
      <c r="M122" s="173"/>
      <c r="N122" s="172"/>
      <c r="O122" s="172"/>
      <c r="P122" s="172"/>
      <c r="Q122" s="172"/>
    </row>
    <row r="123" spans="1:18" x14ac:dyDescent="0.25">
      <c r="A123" s="999">
        <v>9257032</v>
      </c>
      <c r="B123" t="str">
        <f>CONCATENATE(A123,C123)</f>
        <v>92570322022/23</v>
      </c>
      <c r="C123" s="667" t="s">
        <v>306</v>
      </c>
      <c r="D123" t="s">
        <v>346</v>
      </c>
      <c r="E123" s="37">
        <f>SUM(F123:K123)</f>
        <v>0</v>
      </c>
      <c r="F123" s="670">
        <f>'2223 MFG Protection'!F132</f>
        <v>0</v>
      </c>
      <c r="G123" s="670">
        <f>'2223 MFG Protection'!G132</f>
        <v>0</v>
      </c>
      <c r="H123" s="670">
        <f>'2223 MFG Protection'!H132</f>
        <v>0</v>
      </c>
      <c r="I123" s="670">
        <f>'2223 MFG Protection'!I132</f>
        <v>0</v>
      </c>
      <c r="J123" s="670">
        <f>'2223 MFG Protection'!J132</f>
        <v>0</v>
      </c>
      <c r="K123" s="670">
        <f>'2223 MFG Protection'!K132</f>
        <v>0</v>
      </c>
      <c r="L123" s="37"/>
      <c r="N123" s="7"/>
      <c r="O123" s="140">
        <f>'2223 MFG Protection'!L131</f>
        <v>0</v>
      </c>
      <c r="R123" s="351"/>
    </row>
    <row r="124" spans="1:18" x14ac:dyDescent="0.25">
      <c r="A124" s="999">
        <v>9257032</v>
      </c>
      <c r="B124" t="str">
        <f>CONCATENATE(A124,C124)</f>
        <v>92570322023/24</v>
      </c>
      <c r="C124" t="s">
        <v>312</v>
      </c>
      <c r="D124" t="str">
        <f>CONCATENATE(A124,C124)</f>
        <v>92570322023/24</v>
      </c>
      <c r="E124" s="37">
        <f>VLOOKUP(A124,'2324 Funding Detail'!$A$4:$M$20,13,(FALSE))</f>
        <v>110.41666666666669</v>
      </c>
      <c r="F124" s="549">
        <f>$E$124*'2324 Band Calculations'!D17</f>
        <v>0</v>
      </c>
      <c r="G124" s="549">
        <f>$E$124*'2324 Band Calculations'!E17</f>
        <v>0</v>
      </c>
      <c r="H124" s="549">
        <f>$E$124*'2324 Band Calculations'!F17</f>
        <v>110.41666666666669</v>
      </c>
      <c r="I124" s="549">
        <f>$E$124*'2324 Band Calculations'!G17</f>
        <v>0</v>
      </c>
      <c r="J124" s="549">
        <f>$E$124*'2324 Band Calculations'!H17</f>
        <v>0</v>
      </c>
      <c r="K124" s="549">
        <f>$E$124*'2324 Band Calculations'!I17</f>
        <v>0</v>
      </c>
      <c r="L124" s="169">
        <f>$E$124*'2324 Band Calculations'!J17</f>
        <v>0</v>
      </c>
      <c r="N124" s="7"/>
      <c r="R124" s="351"/>
    </row>
    <row r="125" spans="1:18" x14ac:dyDescent="0.25">
      <c r="A125" s="999">
        <v>9257032</v>
      </c>
      <c r="B125" t="str">
        <f>CONCATENATE(A125,C125)</f>
        <v>9257032</v>
      </c>
      <c r="F125" s="170">
        <f t="shared" ref="F125:K125" si="48">F124-F123</f>
        <v>0</v>
      </c>
      <c r="G125" s="170">
        <f t="shared" si="48"/>
        <v>0</v>
      </c>
      <c r="H125" s="170">
        <f t="shared" si="48"/>
        <v>110.41666666666669</v>
      </c>
      <c r="I125" s="170">
        <f t="shared" si="48"/>
        <v>0</v>
      </c>
      <c r="J125" s="170">
        <f t="shared" si="48"/>
        <v>0</v>
      </c>
      <c r="K125" s="170">
        <f t="shared" si="48"/>
        <v>0</v>
      </c>
      <c r="R125" s="351"/>
    </row>
    <row r="126" spans="1:18" x14ac:dyDescent="0.25">
      <c r="A126" s="999">
        <v>9257032</v>
      </c>
      <c r="B126" t="str">
        <f>CONCATENATE(A126,C126)</f>
        <v>9257032a</v>
      </c>
      <c r="C126" t="s">
        <v>349</v>
      </c>
      <c r="D126" t="s">
        <v>346</v>
      </c>
      <c r="F126" s="549">
        <f t="shared" ref="F126:K126" si="49">IF(F123&gt;F124,(F124),(F123))</f>
        <v>0</v>
      </c>
      <c r="G126" s="549">
        <f t="shared" si="49"/>
        <v>0</v>
      </c>
      <c r="H126" s="549">
        <f t="shared" si="49"/>
        <v>0</v>
      </c>
      <c r="I126" s="549">
        <f t="shared" si="49"/>
        <v>0</v>
      </c>
      <c r="J126" s="549">
        <f t="shared" si="49"/>
        <v>0</v>
      </c>
      <c r="K126" s="549">
        <f t="shared" si="49"/>
        <v>0</v>
      </c>
      <c r="L126" s="37"/>
      <c r="M126" s="7"/>
      <c r="O126" s="7"/>
      <c r="P126" s="7"/>
      <c r="R126" s="351"/>
    </row>
    <row r="127" spans="1:18" x14ac:dyDescent="0.25">
      <c r="A127" s="999"/>
      <c r="B127" t="s">
        <v>381</v>
      </c>
      <c r="C127" t="s">
        <v>306</v>
      </c>
      <c r="D127" t="s">
        <v>351</v>
      </c>
      <c r="F127" s="664">
        <f>'2223 MFG Protection'!F130</f>
        <v>0</v>
      </c>
      <c r="G127" s="664">
        <f>'2223 MFG Protection'!G130</f>
        <v>0</v>
      </c>
      <c r="H127" s="664">
        <f>'2223 MFG Protection'!H130</f>
        <v>0</v>
      </c>
      <c r="I127" s="664">
        <f>'2223 MFG Protection'!I130</f>
        <v>0</v>
      </c>
      <c r="J127" s="664">
        <f>'2223 MFG Protection'!J130</f>
        <v>0</v>
      </c>
      <c r="K127" s="664">
        <f>'2223 MFG Protection'!K130</f>
        <v>0</v>
      </c>
      <c r="L127" s="37"/>
      <c r="M127" s="7"/>
      <c r="O127" s="7"/>
      <c r="P127" s="7"/>
      <c r="R127" s="351"/>
    </row>
    <row r="128" spans="1:18" x14ac:dyDescent="0.25">
      <c r="A128" s="999">
        <v>9257032</v>
      </c>
      <c r="B128" t="str">
        <f>CONCATENATE(A128,C128)</f>
        <v>9257032b</v>
      </c>
      <c r="C128" t="s">
        <v>353</v>
      </c>
      <c r="D128" t="s">
        <v>354</v>
      </c>
      <c r="F128" s="664">
        <v>103</v>
      </c>
      <c r="G128" s="664">
        <v>102</v>
      </c>
      <c r="H128" s="664">
        <v>468</v>
      </c>
      <c r="I128" s="664">
        <v>500</v>
      </c>
      <c r="J128" s="664">
        <v>500</v>
      </c>
      <c r="K128" s="664">
        <v>363</v>
      </c>
      <c r="L128" s="37"/>
      <c r="M128" s="7"/>
      <c r="R128" s="351"/>
    </row>
    <row r="129" spans="1:18" x14ac:dyDescent="0.25">
      <c r="A129" s="999"/>
      <c r="B129" t="s">
        <v>382</v>
      </c>
      <c r="C129" t="s">
        <v>312</v>
      </c>
      <c r="D129" t="s">
        <v>351</v>
      </c>
      <c r="F129" s="140">
        <f t="shared" ref="F129:K129" si="50">IF(F127-F128&gt;0,(F127-F128),(0))</f>
        <v>0</v>
      </c>
      <c r="G129" s="140">
        <f t="shared" si="50"/>
        <v>0</v>
      </c>
      <c r="H129" s="140">
        <f t="shared" si="50"/>
        <v>0</v>
      </c>
      <c r="I129" s="140">
        <f t="shared" si="50"/>
        <v>0</v>
      </c>
      <c r="J129" s="140">
        <f t="shared" si="50"/>
        <v>0</v>
      </c>
      <c r="K129" s="140">
        <f t="shared" si="50"/>
        <v>0</v>
      </c>
      <c r="L129" s="37"/>
      <c r="M129" s="7"/>
      <c r="R129" s="351"/>
    </row>
    <row r="130" spans="1:18" x14ac:dyDescent="0.25">
      <c r="A130" s="999">
        <v>9257032</v>
      </c>
      <c r="B130" t="str">
        <f>CONCATENATE(A130,C130)</f>
        <v>9257032c</v>
      </c>
      <c r="C130" t="s">
        <v>357</v>
      </c>
      <c r="D130" t="s">
        <v>217</v>
      </c>
      <c r="F130" s="7">
        <f t="shared" ref="F130:K130" si="51">IF(F129&lt;0,0,(F129*F126))</f>
        <v>0</v>
      </c>
      <c r="G130" s="7">
        <f t="shared" si="51"/>
        <v>0</v>
      </c>
      <c r="H130" s="7">
        <f t="shared" si="51"/>
        <v>0</v>
      </c>
      <c r="I130" s="7">
        <f t="shared" si="51"/>
        <v>0</v>
      </c>
      <c r="J130" s="7">
        <f t="shared" si="51"/>
        <v>0</v>
      </c>
      <c r="K130" s="7">
        <f t="shared" si="51"/>
        <v>0</v>
      </c>
      <c r="L130" s="141">
        <f>SUM(F130:K130)</f>
        <v>0</v>
      </c>
      <c r="M130" s="140">
        <f>L130-O123</f>
        <v>0</v>
      </c>
      <c r="R130" s="351"/>
    </row>
    <row r="131" spans="1:18" x14ac:dyDescent="0.25">
      <c r="A131" s="1005"/>
      <c r="D131" t="s">
        <v>401</v>
      </c>
      <c r="F131" s="670">
        <v>0</v>
      </c>
      <c r="G131" s="670">
        <v>0</v>
      </c>
      <c r="H131" s="670">
        <v>0</v>
      </c>
      <c r="I131" s="670">
        <v>0</v>
      </c>
      <c r="J131" s="670">
        <v>0</v>
      </c>
      <c r="K131" s="670">
        <v>0</v>
      </c>
      <c r="L131" s="141"/>
      <c r="M131" s="140"/>
      <c r="R131" s="351"/>
    </row>
    <row r="132" spans="1:18" x14ac:dyDescent="0.25">
      <c r="A132" s="171"/>
      <c r="B132" s="171" t="s">
        <v>383</v>
      </c>
      <c r="C132" s="171"/>
      <c r="D132" s="171"/>
      <c r="E132" s="172"/>
      <c r="F132" s="173"/>
      <c r="G132" s="173"/>
      <c r="H132" s="173"/>
      <c r="I132" s="173"/>
      <c r="J132" s="173"/>
      <c r="K132" s="173"/>
      <c r="L132" s="173"/>
      <c r="M132" s="173"/>
      <c r="N132" s="172"/>
      <c r="O132" s="172"/>
      <c r="P132" s="172"/>
      <c r="Q132" s="172"/>
    </row>
    <row r="133" spans="1:18" x14ac:dyDescent="0.25">
      <c r="A133" s="999">
        <v>9257030</v>
      </c>
      <c r="B133" t="str">
        <f>CONCATENATE(A133,C133)</f>
        <v>92570302022/23</v>
      </c>
      <c r="C133" s="667" t="s">
        <v>306</v>
      </c>
      <c r="D133" t="s">
        <v>346</v>
      </c>
      <c r="E133" s="37">
        <f>SUM(F133:K133)</f>
        <v>70.833333333333343</v>
      </c>
      <c r="F133" s="670">
        <f>'2223 MFG Protection'!F142</f>
        <v>0</v>
      </c>
      <c r="G133" s="670">
        <f>'2223 MFG Protection'!G142</f>
        <v>0</v>
      </c>
      <c r="H133" s="676">
        <f>'2223 MFG Protection'!H142</f>
        <v>70.833333333333343</v>
      </c>
      <c r="I133" s="670">
        <f>'2223 MFG Protection'!I142</f>
        <v>0</v>
      </c>
      <c r="J133" s="670">
        <f>'2223 MFG Protection'!J142</f>
        <v>0</v>
      </c>
      <c r="K133" s="670">
        <f>'2223 MFG Protection'!K142</f>
        <v>0</v>
      </c>
      <c r="L133" s="37"/>
      <c r="N133" s="7"/>
      <c r="O133" s="140">
        <f>'2223 MFG Protection'!L141</f>
        <v>2905.6363932316312</v>
      </c>
      <c r="R133" s="351"/>
    </row>
    <row r="134" spans="1:18" x14ac:dyDescent="0.25">
      <c r="A134" s="999">
        <v>9257030</v>
      </c>
      <c r="B134" t="str">
        <f>CONCATENATE(A134,C134)</f>
        <v>92570302023/24</v>
      </c>
      <c r="C134" t="s">
        <v>312</v>
      </c>
      <c r="D134" t="str">
        <f>CONCATENATE(A134,C134)</f>
        <v>92570302023/24</v>
      </c>
      <c r="E134" s="37">
        <f>VLOOKUP(A134,'2324 Funding Detail'!$A$4:$M$20,13,(FALSE))</f>
        <v>70</v>
      </c>
      <c r="F134" s="549">
        <f>$E$134*'2324 Band Calculations'!D18</f>
        <v>0</v>
      </c>
      <c r="G134" s="549">
        <f>$E$134*'2324 Band Calculations'!E18</f>
        <v>0</v>
      </c>
      <c r="H134" s="675">
        <f>$E$134*'2324 Band Calculations'!F18</f>
        <v>70</v>
      </c>
      <c r="I134" s="549">
        <f>$E$134*'2324 Band Calculations'!G18</f>
        <v>0</v>
      </c>
      <c r="J134" s="549">
        <f>$E$134*'2324 Band Calculations'!H18</f>
        <v>0</v>
      </c>
      <c r="K134" s="549">
        <f>$E$134*'2324 Band Calculations'!I18</f>
        <v>0</v>
      </c>
      <c r="L134" s="169">
        <f>$E$134*'2324 Band Calculations'!J18</f>
        <v>0</v>
      </c>
      <c r="N134" s="7"/>
      <c r="R134" s="351"/>
    </row>
    <row r="135" spans="1:18" x14ac:dyDescent="0.25">
      <c r="A135" s="999">
        <v>9257030</v>
      </c>
      <c r="B135" t="str">
        <f>CONCATENATE(A135,C135)</f>
        <v>9257030</v>
      </c>
      <c r="F135" s="170">
        <f t="shared" ref="F135:K135" si="52">F134-F133</f>
        <v>0</v>
      </c>
      <c r="G135" s="170">
        <f t="shared" si="52"/>
        <v>0</v>
      </c>
      <c r="H135" s="170">
        <f t="shared" si="52"/>
        <v>-0.83333333333334281</v>
      </c>
      <c r="I135" s="170">
        <f t="shared" si="52"/>
        <v>0</v>
      </c>
      <c r="J135" s="170">
        <f t="shared" si="52"/>
        <v>0</v>
      </c>
      <c r="K135" s="170">
        <f t="shared" si="52"/>
        <v>0</v>
      </c>
      <c r="R135" s="351"/>
    </row>
    <row r="136" spans="1:18" x14ac:dyDescent="0.25">
      <c r="A136" s="999">
        <v>9257030</v>
      </c>
      <c r="B136" t="str">
        <f>CONCATENATE(A136,C136)</f>
        <v>9257030a</v>
      </c>
      <c r="C136" t="s">
        <v>349</v>
      </c>
      <c r="D136" t="s">
        <v>346</v>
      </c>
      <c r="F136" s="549">
        <f t="shared" ref="F136:K136" si="53">IF(F133&gt;F134,(F134),(F133))</f>
        <v>0</v>
      </c>
      <c r="G136" s="549">
        <f t="shared" si="53"/>
        <v>0</v>
      </c>
      <c r="H136" s="549">
        <f t="shared" si="53"/>
        <v>70</v>
      </c>
      <c r="I136" s="549">
        <f t="shared" si="53"/>
        <v>0</v>
      </c>
      <c r="J136" s="549">
        <f t="shared" si="53"/>
        <v>0</v>
      </c>
      <c r="K136" s="549">
        <f t="shared" si="53"/>
        <v>0</v>
      </c>
      <c r="L136" s="37"/>
      <c r="M136" s="7"/>
      <c r="O136" s="7"/>
      <c r="P136" s="7"/>
      <c r="R136" s="351"/>
    </row>
    <row r="137" spans="1:18" x14ac:dyDescent="0.25">
      <c r="A137" s="999"/>
      <c r="B137" t="s">
        <v>384</v>
      </c>
      <c r="C137" t="s">
        <v>306</v>
      </c>
      <c r="D137" t="s">
        <v>351</v>
      </c>
      <c r="F137" s="664">
        <f>'2223 MFG Protection'!F140</f>
        <v>0</v>
      </c>
      <c r="G137" s="664">
        <f>'2223 MFG Protection'!G140</f>
        <v>0</v>
      </c>
      <c r="H137" s="664">
        <f>'2223 MFG Protection'!H140</f>
        <v>41.020749080917142</v>
      </c>
      <c r="I137" s="664">
        <f>'2223 MFG Protection'!I140</f>
        <v>0</v>
      </c>
      <c r="J137" s="664">
        <f>'2223 MFG Protection'!J140</f>
        <v>0</v>
      </c>
      <c r="K137" s="664">
        <f>'2223 MFG Protection'!K140</f>
        <v>0</v>
      </c>
      <c r="L137" s="37"/>
      <c r="M137" s="7"/>
      <c r="O137" s="7"/>
      <c r="P137" s="7"/>
      <c r="R137" s="351"/>
    </row>
    <row r="138" spans="1:18" x14ac:dyDescent="0.25">
      <c r="A138" s="999">
        <v>9257030</v>
      </c>
      <c r="B138" t="str">
        <f>CONCATENATE(A138,C138)</f>
        <v>9257030b</v>
      </c>
      <c r="C138" t="s">
        <v>353</v>
      </c>
      <c r="D138" t="s">
        <v>354</v>
      </c>
      <c r="F138" s="664">
        <v>103</v>
      </c>
      <c r="G138" s="664">
        <v>102</v>
      </c>
      <c r="H138" s="664">
        <v>468</v>
      </c>
      <c r="I138" s="664">
        <v>500</v>
      </c>
      <c r="J138" s="664">
        <v>500</v>
      </c>
      <c r="K138" s="664">
        <v>363</v>
      </c>
      <c r="L138" s="37"/>
      <c r="M138" s="7"/>
      <c r="R138" s="351"/>
    </row>
    <row r="139" spans="1:18" x14ac:dyDescent="0.25">
      <c r="A139" s="999"/>
      <c r="B139" t="s">
        <v>385</v>
      </c>
      <c r="C139" t="s">
        <v>312</v>
      </c>
      <c r="D139" t="s">
        <v>351</v>
      </c>
      <c r="F139" s="140">
        <f t="shared" ref="F139:K139" si="54">IF(F137-F138&gt;0,(F137-F138),(0))</f>
        <v>0</v>
      </c>
      <c r="G139" s="140">
        <f t="shared" si="54"/>
        <v>0</v>
      </c>
      <c r="H139" s="140">
        <f t="shared" si="54"/>
        <v>0</v>
      </c>
      <c r="I139" s="140">
        <f t="shared" si="54"/>
        <v>0</v>
      </c>
      <c r="J139" s="140">
        <f t="shared" si="54"/>
        <v>0</v>
      </c>
      <c r="K139" s="140">
        <f t="shared" si="54"/>
        <v>0</v>
      </c>
      <c r="L139" s="37"/>
      <c r="M139" s="7"/>
      <c r="R139" s="351"/>
    </row>
    <row r="140" spans="1:18" x14ac:dyDescent="0.25">
      <c r="A140" s="999">
        <v>9257030</v>
      </c>
      <c r="B140" t="str">
        <f>CONCATENATE(A140,C140)</f>
        <v>9257030c</v>
      </c>
      <c r="C140" t="s">
        <v>357</v>
      </c>
      <c r="D140" t="s">
        <v>217</v>
      </c>
      <c r="F140" s="7">
        <f t="shared" ref="F140:K140" si="55">IF(F139&lt;0,0,(F139*F136))</f>
        <v>0</v>
      </c>
      <c r="G140" s="7">
        <f t="shared" si="55"/>
        <v>0</v>
      </c>
      <c r="H140" s="7">
        <f t="shared" si="55"/>
        <v>0</v>
      </c>
      <c r="I140" s="7">
        <f t="shared" si="55"/>
        <v>0</v>
      </c>
      <c r="J140" s="7">
        <f t="shared" si="55"/>
        <v>0</v>
      </c>
      <c r="K140" s="7">
        <f t="shared" si="55"/>
        <v>0</v>
      </c>
      <c r="L140" s="141">
        <f>SUM(F140:K140)</f>
        <v>0</v>
      </c>
      <c r="M140" s="140">
        <f>L140-O133</f>
        <v>-2905.6363932316312</v>
      </c>
      <c r="N140" s="2" t="s">
        <v>61</v>
      </c>
      <c r="R140" s="351"/>
    </row>
    <row r="141" spans="1:18" x14ac:dyDescent="0.25">
      <c r="A141" s="1005"/>
      <c r="D141" t="s">
        <v>401</v>
      </c>
      <c r="F141" s="670">
        <v>0</v>
      </c>
      <c r="G141" s="670">
        <v>0</v>
      </c>
      <c r="H141" s="670">
        <v>70.833333333333343</v>
      </c>
      <c r="I141" s="670">
        <v>0</v>
      </c>
      <c r="J141" s="670">
        <v>0</v>
      </c>
      <c r="K141" s="670">
        <v>0</v>
      </c>
      <c r="L141" s="141"/>
      <c r="M141" s="140"/>
      <c r="R141" s="351"/>
    </row>
    <row r="142" spans="1:18" x14ac:dyDescent="0.25">
      <c r="A142" s="171"/>
      <c r="B142" s="171" t="s">
        <v>70</v>
      </c>
      <c r="C142" s="171"/>
      <c r="D142" s="171"/>
      <c r="E142" s="172"/>
      <c r="F142" s="173"/>
      <c r="G142" s="173"/>
      <c r="H142" s="173"/>
      <c r="I142" s="173"/>
      <c r="J142" s="173"/>
      <c r="K142" s="173"/>
      <c r="L142" s="173"/>
      <c r="M142" s="173"/>
      <c r="N142" s="172"/>
      <c r="O142" s="172"/>
      <c r="P142" s="172"/>
      <c r="Q142" s="172"/>
    </row>
    <row r="143" spans="1:18" x14ac:dyDescent="0.25">
      <c r="A143" s="999">
        <v>9257028</v>
      </c>
      <c r="B143" t="str">
        <f>CONCATENATE(A143,C143)</f>
        <v>92570282022/23</v>
      </c>
      <c r="C143" s="667" t="s">
        <v>306</v>
      </c>
      <c r="D143" t="s">
        <v>346</v>
      </c>
      <c r="E143" s="37">
        <f>SUM(F143:K143)</f>
        <v>0</v>
      </c>
      <c r="F143" s="670">
        <f>'2223 MFG Protection'!F152</f>
        <v>0</v>
      </c>
      <c r="G143" s="670">
        <f>'2223 MFG Protection'!G152</f>
        <v>0</v>
      </c>
      <c r="H143" s="670">
        <f>'2223 MFG Protection'!H152</f>
        <v>0</v>
      </c>
      <c r="I143" s="670">
        <f>'2223 MFG Protection'!I152</f>
        <v>0</v>
      </c>
      <c r="J143" s="670">
        <f>'2223 MFG Protection'!J152</f>
        <v>0</v>
      </c>
      <c r="K143" s="670">
        <f>'2223 MFG Protection'!K152</f>
        <v>0</v>
      </c>
      <c r="L143" s="37"/>
      <c r="N143" s="7"/>
      <c r="O143" s="140">
        <f>'2223 MFG Protection'!L151</f>
        <v>0</v>
      </c>
      <c r="R143" s="351"/>
    </row>
    <row r="144" spans="1:18" x14ac:dyDescent="0.25">
      <c r="A144" s="999">
        <v>9257028</v>
      </c>
      <c r="B144" t="str">
        <f>CONCATENATE(A144,C144)</f>
        <v>92570282023/24</v>
      </c>
      <c r="C144" t="s">
        <v>312</v>
      </c>
      <c r="D144" t="str">
        <f>CONCATENATE(A144,C144)</f>
        <v>92570282023/24</v>
      </c>
      <c r="E144" s="37">
        <f>VLOOKUP(A144,'2324 Funding Detail'!$A$4:$M$20,13,(FALSE))</f>
        <v>138.66666666666669</v>
      </c>
      <c r="F144" s="549">
        <f>$E$144*'2324 Band Calculations'!D19</f>
        <v>12.50273224043716</v>
      </c>
      <c r="G144" s="549">
        <f>$E$144*'2324 Band Calculations'!E19</f>
        <v>63.650273224043723</v>
      </c>
      <c r="H144" s="549">
        <f>$E$144*'2324 Band Calculations'!F19</f>
        <v>9.0928961748633892</v>
      </c>
      <c r="I144" s="549">
        <f>$E$144*'2324 Band Calculations'!G19</f>
        <v>11.366120218579235</v>
      </c>
      <c r="J144" s="549">
        <f>$E$144*'2324 Band Calculations'!H19</f>
        <v>12.50273224043716</v>
      </c>
      <c r="K144" s="549">
        <f>$E$144*'2324 Band Calculations'!I19</f>
        <v>9.0928961748633892</v>
      </c>
      <c r="L144" s="169">
        <f>$E$144*'2324 Band Calculations'!J19</f>
        <v>20.459016393442624</v>
      </c>
      <c r="N144" s="7"/>
      <c r="R144" s="351"/>
    </row>
    <row r="145" spans="1:18" x14ac:dyDescent="0.25">
      <c r="A145" s="999">
        <v>9257028</v>
      </c>
      <c r="B145" t="str">
        <f>CONCATENATE(A145,C145)</f>
        <v>9257028</v>
      </c>
      <c r="F145" s="170">
        <f t="shared" ref="F145:K145" si="56">F144-F143</f>
        <v>12.50273224043716</v>
      </c>
      <c r="G145" s="170">
        <f t="shared" si="56"/>
        <v>63.650273224043723</v>
      </c>
      <c r="H145" s="170">
        <f t="shared" si="56"/>
        <v>9.0928961748633892</v>
      </c>
      <c r="I145" s="170">
        <f t="shared" si="56"/>
        <v>11.366120218579235</v>
      </c>
      <c r="J145" s="170">
        <f t="shared" si="56"/>
        <v>12.50273224043716</v>
      </c>
      <c r="K145" s="170">
        <f t="shared" si="56"/>
        <v>9.0928961748633892</v>
      </c>
      <c r="R145" s="351"/>
    </row>
    <row r="146" spans="1:18" x14ac:dyDescent="0.25">
      <c r="A146" s="999">
        <v>9257028</v>
      </c>
      <c r="B146" t="str">
        <f>CONCATENATE(A146,C146)</f>
        <v>9257028a</v>
      </c>
      <c r="C146" t="s">
        <v>349</v>
      </c>
      <c r="D146" t="s">
        <v>346</v>
      </c>
      <c r="F146" s="549">
        <f t="shared" ref="F146:K146" si="57">IF(F143&gt;F144,(F144),(F143))</f>
        <v>0</v>
      </c>
      <c r="G146" s="549">
        <f t="shared" si="57"/>
        <v>0</v>
      </c>
      <c r="H146" s="549">
        <f t="shared" si="57"/>
        <v>0</v>
      </c>
      <c r="I146" s="549">
        <f t="shared" si="57"/>
        <v>0</v>
      </c>
      <c r="J146" s="549">
        <f t="shared" si="57"/>
        <v>0</v>
      </c>
      <c r="K146" s="549">
        <f t="shared" si="57"/>
        <v>0</v>
      </c>
      <c r="L146" s="37"/>
      <c r="M146" s="7"/>
      <c r="O146" s="7"/>
      <c r="P146" s="7"/>
      <c r="R146" s="351"/>
    </row>
    <row r="147" spans="1:18" x14ac:dyDescent="0.25">
      <c r="A147" s="999"/>
      <c r="B147" t="s">
        <v>386</v>
      </c>
      <c r="C147" t="s">
        <v>306</v>
      </c>
      <c r="D147" t="s">
        <v>351</v>
      </c>
      <c r="F147" s="664">
        <f>'2223 MFG Protection'!F150</f>
        <v>0</v>
      </c>
      <c r="G147" s="664">
        <f>'2223 MFG Protection'!G150</f>
        <v>0</v>
      </c>
      <c r="H147" s="664">
        <f>'2223 MFG Protection'!H150</f>
        <v>0</v>
      </c>
      <c r="I147" s="664">
        <f>'2223 MFG Protection'!I150</f>
        <v>0</v>
      </c>
      <c r="J147" s="664">
        <f>'2223 MFG Protection'!J150</f>
        <v>0</v>
      </c>
      <c r="K147" s="664">
        <f>'2223 MFG Protection'!K150</f>
        <v>0</v>
      </c>
      <c r="L147" s="37"/>
      <c r="M147" s="7"/>
      <c r="O147" s="7"/>
      <c r="P147" s="7"/>
      <c r="R147" s="351"/>
    </row>
    <row r="148" spans="1:18" x14ac:dyDescent="0.25">
      <c r="A148" s="999">
        <v>9257028</v>
      </c>
      <c r="B148" t="str">
        <f>CONCATENATE(A148,C148)</f>
        <v>9257028b</v>
      </c>
      <c r="C148" t="s">
        <v>353</v>
      </c>
      <c r="D148" t="s">
        <v>354</v>
      </c>
      <c r="F148" s="664">
        <v>103</v>
      </c>
      <c r="G148" s="664">
        <v>102</v>
      </c>
      <c r="H148" s="664">
        <v>468</v>
      </c>
      <c r="I148" s="664">
        <v>500</v>
      </c>
      <c r="J148" s="664">
        <v>500</v>
      </c>
      <c r="K148" s="664">
        <v>363</v>
      </c>
      <c r="L148" s="37"/>
      <c r="M148" s="7"/>
      <c r="R148" s="351"/>
    </row>
    <row r="149" spans="1:18" x14ac:dyDescent="0.25">
      <c r="A149" s="999"/>
      <c r="B149" t="s">
        <v>387</v>
      </c>
      <c r="C149" t="s">
        <v>312</v>
      </c>
      <c r="D149" t="s">
        <v>351</v>
      </c>
      <c r="F149" s="140">
        <f t="shared" ref="F149:K149" si="58">IF(F147-F148&gt;0,(F147-F148),(0))</f>
        <v>0</v>
      </c>
      <c r="G149" s="140">
        <f t="shared" si="58"/>
        <v>0</v>
      </c>
      <c r="H149" s="140">
        <f t="shared" si="58"/>
        <v>0</v>
      </c>
      <c r="I149" s="140">
        <f t="shared" si="58"/>
        <v>0</v>
      </c>
      <c r="J149" s="140">
        <f t="shared" si="58"/>
        <v>0</v>
      </c>
      <c r="K149" s="140">
        <f t="shared" si="58"/>
        <v>0</v>
      </c>
      <c r="L149" s="37"/>
      <c r="M149" s="7"/>
      <c r="R149" s="351"/>
    </row>
    <row r="150" spans="1:18" x14ac:dyDescent="0.25">
      <c r="A150" s="999">
        <v>9257028</v>
      </c>
      <c r="B150" t="str">
        <f>CONCATENATE(A150,C150)</f>
        <v>9257028c</v>
      </c>
      <c r="C150" t="s">
        <v>357</v>
      </c>
      <c r="D150" t="s">
        <v>217</v>
      </c>
      <c r="F150" s="7">
        <f t="shared" ref="F150:K150" si="59">IF(F149&lt;0,0,(F149*F146))</f>
        <v>0</v>
      </c>
      <c r="G150" s="7">
        <f t="shared" si="59"/>
        <v>0</v>
      </c>
      <c r="H150" s="7">
        <f t="shared" si="59"/>
        <v>0</v>
      </c>
      <c r="I150" s="7">
        <f t="shared" si="59"/>
        <v>0</v>
      </c>
      <c r="J150" s="7">
        <f t="shared" si="59"/>
        <v>0</v>
      </c>
      <c r="K150" s="7">
        <f t="shared" si="59"/>
        <v>0</v>
      </c>
      <c r="L150" s="141">
        <f>SUM(F150:K150)</f>
        <v>0</v>
      </c>
      <c r="M150" s="140">
        <f>L150-O143</f>
        <v>0</v>
      </c>
      <c r="R150" s="351"/>
    </row>
    <row r="151" spans="1:18" x14ac:dyDescent="0.25">
      <c r="A151" s="1005"/>
      <c r="D151" t="s">
        <v>401</v>
      </c>
      <c r="F151" s="670">
        <v>0</v>
      </c>
      <c r="G151" s="670">
        <v>0</v>
      </c>
      <c r="H151" s="670">
        <v>0</v>
      </c>
      <c r="I151" s="670">
        <v>0</v>
      </c>
      <c r="J151" s="670">
        <v>0</v>
      </c>
      <c r="K151" s="670">
        <v>0</v>
      </c>
      <c r="L151" s="141"/>
      <c r="M151" s="140"/>
      <c r="R151" s="351"/>
    </row>
    <row r="152" spans="1:18" x14ac:dyDescent="0.25">
      <c r="A152" s="171"/>
      <c r="B152" s="171" t="s">
        <v>71</v>
      </c>
      <c r="C152" s="171"/>
      <c r="D152" s="171"/>
      <c r="E152" s="172"/>
      <c r="F152" s="173"/>
      <c r="G152" s="173"/>
      <c r="H152" s="173"/>
      <c r="I152" s="173"/>
      <c r="J152" s="173"/>
      <c r="K152" s="173"/>
      <c r="L152" s="173"/>
      <c r="M152" s="173"/>
      <c r="N152" s="172"/>
      <c r="O152" s="172"/>
      <c r="P152" s="172"/>
      <c r="Q152" s="172"/>
    </row>
    <row r="153" spans="1:18" x14ac:dyDescent="0.25">
      <c r="A153" s="999">
        <v>9257021</v>
      </c>
      <c r="B153" t="str">
        <f>CONCATENATE(A153,C153)</f>
        <v>92570212022/23</v>
      </c>
      <c r="C153" s="667" t="s">
        <v>306</v>
      </c>
      <c r="D153" t="s">
        <v>346</v>
      </c>
      <c r="E153" s="37">
        <f>SUM(F153:K153)</f>
        <v>0</v>
      </c>
      <c r="F153" s="670">
        <f>'2223 MFG Protection'!F162</f>
        <v>0</v>
      </c>
      <c r="G153" s="670">
        <f>'2223 MFG Protection'!G162</f>
        <v>0</v>
      </c>
      <c r="H153" s="670">
        <f>'2223 MFG Protection'!H162</f>
        <v>0</v>
      </c>
      <c r="I153" s="670">
        <f>'2223 MFG Protection'!I162</f>
        <v>0</v>
      </c>
      <c r="J153" s="670">
        <f>'2223 MFG Protection'!J162</f>
        <v>0</v>
      </c>
      <c r="K153" s="670">
        <f>'2223 MFG Protection'!K162</f>
        <v>0</v>
      </c>
      <c r="L153" s="37"/>
      <c r="N153" s="7"/>
      <c r="O153" s="140">
        <f>'2223 MFG Protection'!L161</f>
        <v>0</v>
      </c>
      <c r="R153" s="351"/>
    </row>
    <row r="154" spans="1:18" x14ac:dyDescent="0.25">
      <c r="A154" s="999">
        <v>9257021</v>
      </c>
      <c r="B154" t="str">
        <f>CONCATENATE(A154,C154)</f>
        <v>92570212023/24</v>
      </c>
      <c r="C154" t="s">
        <v>312</v>
      </c>
      <c r="D154" t="str">
        <f>CONCATENATE(A154,C154)</f>
        <v>92570212023/24</v>
      </c>
      <c r="E154" s="37">
        <f>VLOOKUP(A154,'2324 Funding Detail'!$A$4:$M$20,13,(FALSE))</f>
        <v>178.58333333333334</v>
      </c>
      <c r="F154" s="549">
        <f>$E$154*'2324 Band Calculations'!D20</f>
        <v>37.817647058823532</v>
      </c>
      <c r="G154" s="549">
        <f>$E$154*'2324 Band Calculations'!E20</f>
        <v>93.493627450980398</v>
      </c>
      <c r="H154" s="549">
        <f>$E$154*'2324 Band Calculations'!F20</f>
        <v>18.908823529411766</v>
      </c>
      <c r="I154" s="549">
        <f>$E$154*'2324 Band Calculations'!G20</f>
        <v>12.605882352941176</v>
      </c>
      <c r="J154" s="549">
        <f>$E$154*'2324 Band Calculations'!H20</f>
        <v>5.2524509803921573</v>
      </c>
      <c r="K154" s="549">
        <f>$E$154*'2324 Band Calculations'!I20</f>
        <v>8.4039215686274513</v>
      </c>
      <c r="L154" s="169">
        <f>$E$154*'2324 Band Calculations'!J20</f>
        <v>2.1009803921568628</v>
      </c>
      <c r="N154" s="7"/>
      <c r="R154" s="351"/>
    </row>
    <row r="155" spans="1:18" x14ac:dyDescent="0.25">
      <c r="A155" s="999">
        <v>9257021</v>
      </c>
      <c r="B155" t="str">
        <f>CONCATENATE(A155,C155)</f>
        <v>9257021</v>
      </c>
      <c r="F155" s="170">
        <f t="shared" ref="F155:K155" si="60">F154-F153</f>
        <v>37.817647058823532</v>
      </c>
      <c r="G155" s="170">
        <f t="shared" si="60"/>
        <v>93.493627450980398</v>
      </c>
      <c r="H155" s="170">
        <f t="shared" si="60"/>
        <v>18.908823529411766</v>
      </c>
      <c r="I155" s="170">
        <f t="shared" si="60"/>
        <v>12.605882352941176</v>
      </c>
      <c r="J155" s="170">
        <f t="shared" si="60"/>
        <v>5.2524509803921573</v>
      </c>
      <c r="K155" s="170">
        <f t="shared" si="60"/>
        <v>8.4039215686274513</v>
      </c>
      <c r="R155" s="351"/>
    </row>
    <row r="156" spans="1:18" x14ac:dyDescent="0.25">
      <c r="A156" s="999">
        <v>9257021</v>
      </c>
      <c r="B156" t="str">
        <f>CONCATENATE(A156,C156)</f>
        <v>9257021a</v>
      </c>
      <c r="C156" t="s">
        <v>349</v>
      </c>
      <c r="D156" t="s">
        <v>346</v>
      </c>
      <c r="F156" s="549">
        <f t="shared" ref="F156:K156" si="61">IF(F153&gt;F154,(F154),(F153))</f>
        <v>0</v>
      </c>
      <c r="G156" s="549">
        <f t="shared" si="61"/>
        <v>0</v>
      </c>
      <c r="H156" s="549">
        <f t="shared" si="61"/>
        <v>0</v>
      </c>
      <c r="I156" s="549">
        <f t="shared" si="61"/>
        <v>0</v>
      </c>
      <c r="J156" s="549">
        <f t="shared" si="61"/>
        <v>0</v>
      </c>
      <c r="K156" s="549">
        <f t="shared" si="61"/>
        <v>0</v>
      </c>
      <c r="L156" s="37"/>
      <c r="M156" s="7"/>
      <c r="O156" s="7"/>
      <c r="P156" s="7"/>
      <c r="R156" s="351"/>
    </row>
    <row r="157" spans="1:18" x14ac:dyDescent="0.25">
      <c r="A157" s="999"/>
      <c r="B157" t="s">
        <v>388</v>
      </c>
      <c r="C157" t="s">
        <v>306</v>
      </c>
      <c r="D157" t="s">
        <v>351</v>
      </c>
      <c r="F157" s="664">
        <f>'2223 MFG Protection'!F160</f>
        <v>0</v>
      </c>
      <c r="G157" s="664">
        <f>'2223 MFG Protection'!G160</f>
        <v>0</v>
      </c>
      <c r="H157" s="664">
        <f>'2223 MFG Protection'!H160</f>
        <v>0</v>
      </c>
      <c r="I157" s="664">
        <f>'2223 MFG Protection'!I160</f>
        <v>0</v>
      </c>
      <c r="J157" s="664">
        <f>'2223 MFG Protection'!J160</f>
        <v>0</v>
      </c>
      <c r="K157" s="664">
        <f>'2223 MFG Protection'!K160</f>
        <v>0</v>
      </c>
      <c r="L157" s="37"/>
      <c r="M157" s="7"/>
      <c r="O157" s="7"/>
      <c r="P157" s="7"/>
      <c r="R157" s="351"/>
    </row>
    <row r="158" spans="1:18" x14ac:dyDescent="0.25">
      <c r="A158" s="999">
        <v>9257021</v>
      </c>
      <c r="B158" t="str">
        <f>CONCATENATE(A158,C158)</f>
        <v>9257021b</v>
      </c>
      <c r="C158" t="s">
        <v>353</v>
      </c>
      <c r="D158" t="s">
        <v>354</v>
      </c>
      <c r="F158" s="664">
        <v>103</v>
      </c>
      <c r="G158" s="664">
        <v>102</v>
      </c>
      <c r="H158" s="664">
        <v>468</v>
      </c>
      <c r="I158" s="664">
        <v>500</v>
      </c>
      <c r="J158" s="664">
        <v>500</v>
      </c>
      <c r="K158" s="664">
        <v>363</v>
      </c>
      <c r="L158" s="37"/>
      <c r="M158" s="7"/>
      <c r="R158" s="351"/>
    </row>
    <row r="159" spans="1:18" x14ac:dyDescent="0.25">
      <c r="A159" s="999"/>
      <c r="B159" t="s">
        <v>389</v>
      </c>
      <c r="C159" t="s">
        <v>312</v>
      </c>
      <c r="D159" t="s">
        <v>351</v>
      </c>
      <c r="F159" s="140">
        <f t="shared" ref="F159:K159" si="62">IF(F157-F158&gt;0,(F157-F158),(0))</f>
        <v>0</v>
      </c>
      <c r="G159" s="140">
        <f t="shared" si="62"/>
        <v>0</v>
      </c>
      <c r="H159" s="140">
        <f t="shared" si="62"/>
        <v>0</v>
      </c>
      <c r="I159" s="140">
        <f t="shared" si="62"/>
        <v>0</v>
      </c>
      <c r="J159" s="140">
        <f t="shared" si="62"/>
        <v>0</v>
      </c>
      <c r="K159" s="140">
        <f t="shared" si="62"/>
        <v>0</v>
      </c>
      <c r="L159" s="37"/>
      <c r="M159" s="7"/>
      <c r="R159" s="351"/>
    </row>
    <row r="160" spans="1:18" x14ac:dyDescent="0.25">
      <c r="A160" s="999">
        <v>9257021</v>
      </c>
      <c r="B160" t="str">
        <f>CONCATENATE(A160,C160)</f>
        <v>9257021c</v>
      </c>
      <c r="C160" t="s">
        <v>357</v>
      </c>
      <c r="D160" t="s">
        <v>217</v>
      </c>
      <c r="F160" s="7">
        <f t="shared" ref="F160:K160" si="63">IF(F159&lt;0,0,(F159*F156))</f>
        <v>0</v>
      </c>
      <c r="G160" s="7">
        <f t="shared" si="63"/>
        <v>0</v>
      </c>
      <c r="H160" s="7">
        <f t="shared" si="63"/>
        <v>0</v>
      </c>
      <c r="I160" s="7">
        <f t="shared" si="63"/>
        <v>0</v>
      </c>
      <c r="J160" s="7">
        <f t="shared" si="63"/>
        <v>0</v>
      </c>
      <c r="K160" s="7">
        <f t="shared" si="63"/>
        <v>0</v>
      </c>
      <c r="L160" s="141">
        <f>SUM(F160:K160)</f>
        <v>0</v>
      </c>
      <c r="M160" s="140">
        <f>L160-O153</f>
        <v>0</v>
      </c>
      <c r="R160" s="351"/>
    </row>
    <row r="161" spans="1:18" x14ac:dyDescent="0.25">
      <c r="A161" s="1005"/>
      <c r="D161" t="s">
        <v>401</v>
      </c>
      <c r="F161" s="670">
        <v>0</v>
      </c>
      <c r="G161" s="670">
        <v>0</v>
      </c>
      <c r="H161" s="670">
        <v>0</v>
      </c>
      <c r="I161" s="670">
        <v>0</v>
      </c>
      <c r="J161" s="670">
        <v>0</v>
      </c>
      <c r="K161" s="670">
        <v>0</v>
      </c>
      <c r="L161" s="141"/>
      <c r="M161" s="140"/>
      <c r="R161" s="351"/>
    </row>
    <row r="162" spans="1:18" x14ac:dyDescent="0.25">
      <c r="A162" s="171"/>
      <c r="B162" s="171" t="s">
        <v>72</v>
      </c>
      <c r="C162" s="171"/>
      <c r="D162" s="171"/>
      <c r="E162" s="172"/>
      <c r="F162" s="173"/>
      <c r="G162" s="173"/>
      <c r="H162" s="173"/>
      <c r="I162" s="173"/>
      <c r="J162" s="173"/>
      <c r="K162" s="173"/>
      <c r="L162" s="173"/>
      <c r="M162" s="173"/>
      <c r="N162" s="172"/>
      <c r="O162" s="172"/>
      <c r="P162" s="172"/>
      <c r="Q162" s="172"/>
    </row>
    <row r="163" spans="1:18" x14ac:dyDescent="0.25">
      <c r="A163" s="999">
        <v>9257015</v>
      </c>
      <c r="B163" t="str">
        <f>CONCATENATE(A163,C163)</f>
        <v>92570152022/23</v>
      </c>
      <c r="C163" s="667" t="s">
        <v>306</v>
      </c>
      <c r="D163" t="s">
        <v>346</v>
      </c>
      <c r="E163" s="37">
        <f>SUM(F163:K163)</f>
        <v>0</v>
      </c>
      <c r="F163" s="670">
        <f>'2223 MFG Protection'!F172</f>
        <v>0</v>
      </c>
      <c r="G163" s="670">
        <f>'2223 MFG Protection'!G172</f>
        <v>0</v>
      </c>
      <c r="H163" s="670">
        <f>'2223 MFG Protection'!H172</f>
        <v>0</v>
      </c>
      <c r="I163" s="670">
        <f>'2223 MFG Protection'!I172</f>
        <v>0</v>
      </c>
      <c r="J163" s="670">
        <f>'2223 MFG Protection'!J172</f>
        <v>0</v>
      </c>
      <c r="K163" s="670">
        <f>'2223 MFG Protection'!K172</f>
        <v>0</v>
      </c>
      <c r="L163" s="37"/>
      <c r="N163" s="7"/>
      <c r="O163" s="140">
        <f>'2223 MFG Protection'!L171</f>
        <v>0</v>
      </c>
      <c r="R163" s="351"/>
    </row>
    <row r="164" spans="1:18" x14ac:dyDescent="0.25">
      <c r="A164" s="999">
        <v>9257015</v>
      </c>
      <c r="B164" t="str">
        <f>CONCATENATE(A164,C164)</f>
        <v>92570152023/24</v>
      </c>
      <c r="C164" t="s">
        <v>312</v>
      </c>
      <c r="D164" t="str">
        <f>CONCATENATE(A164,C164)</f>
        <v>92570152023/24</v>
      </c>
      <c r="E164" s="37">
        <f>VLOOKUP(A164,'2324 Funding Detail'!$A$4:$M$20,13,(FALSE))</f>
        <v>234.33333333333337</v>
      </c>
      <c r="F164" s="549">
        <f>$E$164*'2324 Band Calculations'!D21</f>
        <v>63.249262536873161</v>
      </c>
      <c r="G164" s="549">
        <f>$E$164*'2324 Band Calculations'!E21</f>
        <v>98.502949852507385</v>
      </c>
      <c r="H164" s="549">
        <f>$E$164*'2324 Band Calculations'!F21</f>
        <v>5.1843657817109152</v>
      </c>
      <c r="I164" s="549">
        <f>$E$164*'2324 Band Calculations'!G21</f>
        <v>20.737463126843661</v>
      </c>
      <c r="J164" s="549">
        <f>$E$164*'2324 Band Calculations'!H21</f>
        <v>5.1843657817109152</v>
      </c>
      <c r="K164" s="549">
        <f>$E$164*'2324 Band Calculations'!I21</f>
        <v>37.327433628318587</v>
      </c>
      <c r="L164" s="169">
        <f>$E$164*'2324 Band Calculations'!J21</f>
        <v>4.1474926253687325</v>
      </c>
      <c r="N164" s="7"/>
      <c r="R164" s="351"/>
    </row>
    <row r="165" spans="1:18" x14ac:dyDescent="0.25">
      <c r="A165" s="999">
        <v>9257015</v>
      </c>
      <c r="B165" t="str">
        <f>CONCATENATE(A165,C165)</f>
        <v>9257015</v>
      </c>
      <c r="F165" s="170">
        <f t="shared" ref="F165:K165" si="64">F164-F163</f>
        <v>63.249262536873161</v>
      </c>
      <c r="G165" s="170">
        <f t="shared" si="64"/>
        <v>98.502949852507385</v>
      </c>
      <c r="H165" s="170">
        <f t="shared" si="64"/>
        <v>5.1843657817109152</v>
      </c>
      <c r="I165" s="170">
        <f t="shared" si="64"/>
        <v>20.737463126843661</v>
      </c>
      <c r="J165" s="170">
        <f t="shared" si="64"/>
        <v>5.1843657817109152</v>
      </c>
      <c r="K165" s="170">
        <f t="shared" si="64"/>
        <v>37.327433628318587</v>
      </c>
      <c r="L165" s="169"/>
      <c r="R165" s="351"/>
    </row>
    <row r="166" spans="1:18" x14ac:dyDescent="0.25">
      <c r="A166" s="999">
        <v>9257015</v>
      </c>
      <c r="B166" t="str">
        <f>CONCATENATE(A166,C166)</f>
        <v>9257015a</v>
      </c>
      <c r="C166" t="s">
        <v>349</v>
      </c>
      <c r="D166" t="s">
        <v>346</v>
      </c>
      <c r="F166" s="549">
        <f t="shared" ref="F166:K166" si="65">IF(F163&gt;F164,(F164),(F163))</f>
        <v>0</v>
      </c>
      <c r="G166" s="549">
        <f t="shared" si="65"/>
        <v>0</v>
      </c>
      <c r="H166" s="549">
        <f t="shared" si="65"/>
        <v>0</v>
      </c>
      <c r="I166" s="549">
        <f t="shared" si="65"/>
        <v>0</v>
      </c>
      <c r="J166" s="549">
        <f t="shared" si="65"/>
        <v>0</v>
      </c>
      <c r="K166" s="549">
        <f t="shared" si="65"/>
        <v>0</v>
      </c>
      <c r="L166" s="37"/>
      <c r="M166" s="7"/>
      <c r="O166" s="7"/>
      <c r="P166" s="7"/>
      <c r="R166" s="351"/>
    </row>
    <row r="167" spans="1:18" x14ac:dyDescent="0.25">
      <c r="A167" s="999"/>
      <c r="B167" t="s">
        <v>390</v>
      </c>
      <c r="C167" t="s">
        <v>306</v>
      </c>
      <c r="D167" t="s">
        <v>351</v>
      </c>
      <c r="F167" s="664">
        <f>'2223 MFG Protection'!F170</f>
        <v>0</v>
      </c>
      <c r="G167" s="664">
        <f>'2223 MFG Protection'!G170</f>
        <v>0</v>
      </c>
      <c r="H167" s="664">
        <f>'2223 MFG Protection'!H170</f>
        <v>0</v>
      </c>
      <c r="I167" s="664">
        <f>'2223 MFG Protection'!I170</f>
        <v>0</v>
      </c>
      <c r="J167" s="664">
        <f>'2223 MFG Protection'!J170</f>
        <v>0</v>
      </c>
      <c r="K167" s="664">
        <f>'2223 MFG Protection'!K170</f>
        <v>0</v>
      </c>
      <c r="L167" s="37"/>
      <c r="M167" s="7"/>
      <c r="O167" s="7"/>
      <c r="P167" s="7"/>
      <c r="R167" s="351"/>
    </row>
    <row r="168" spans="1:18" x14ac:dyDescent="0.25">
      <c r="A168" s="999">
        <v>9257015</v>
      </c>
      <c r="B168" t="str">
        <f>CONCATENATE(A168,C168)</f>
        <v>9257015b</v>
      </c>
      <c r="C168" t="s">
        <v>353</v>
      </c>
      <c r="D168" t="s">
        <v>354</v>
      </c>
      <c r="F168" s="664">
        <v>103</v>
      </c>
      <c r="G168" s="664">
        <v>102</v>
      </c>
      <c r="H168" s="664">
        <v>468</v>
      </c>
      <c r="I168" s="664">
        <v>500</v>
      </c>
      <c r="J168" s="664">
        <v>500</v>
      </c>
      <c r="K168" s="664">
        <v>363</v>
      </c>
      <c r="L168" s="37"/>
      <c r="M168" s="7"/>
      <c r="R168" s="351"/>
    </row>
    <row r="169" spans="1:18" x14ac:dyDescent="0.25">
      <c r="A169" s="999"/>
      <c r="B169" t="s">
        <v>391</v>
      </c>
      <c r="C169" t="s">
        <v>312</v>
      </c>
      <c r="D169" t="s">
        <v>351</v>
      </c>
      <c r="F169" s="140">
        <f t="shared" ref="F169:K169" si="66">IF(F167-F168&gt;0,(F167-F168),(0))</f>
        <v>0</v>
      </c>
      <c r="G169" s="140">
        <f t="shared" si="66"/>
        <v>0</v>
      </c>
      <c r="H169" s="140">
        <f t="shared" si="66"/>
        <v>0</v>
      </c>
      <c r="I169" s="140">
        <f t="shared" si="66"/>
        <v>0</v>
      </c>
      <c r="J169" s="140">
        <f t="shared" si="66"/>
        <v>0</v>
      </c>
      <c r="K169" s="140">
        <f t="shared" si="66"/>
        <v>0</v>
      </c>
      <c r="L169" s="37"/>
      <c r="M169" s="7"/>
      <c r="R169" s="351"/>
    </row>
    <row r="170" spans="1:18" x14ac:dyDescent="0.25">
      <c r="A170" s="999">
        <v>9257015</v>
      </c>
      <c r="B170" t="str">
        <f>CONCATENATE(A170,C170)</f>
        <v>9257015c</v>
      </c>
      <c r="C170" t="s">
        <v>357</v>
      </c>
      <c r="D170" t="s">
        <v>217</v>
      </c>
      <c r="F170" s="7">
        <f t="shared" ref="F170:K170" si="67">IF(F169&lt;0,0,(F169*F166))</f>
        <v>0</v>
      </c>
      <c r="G170" s="7">
        <f t="shared" si="67"/>
        <v>0</v>
      </c>
      <c r="H170" s="7">
        <f t="shared" si="67"/>
        <v>0</v>
      </c>
      <c r="I170" s="7">
        <f t="shared" si="67"/>
        <v>0</v>
      </c>
      <c r="J170" s="7">
        <f t="shared" si="67"/>
        <v>0</v>
      </c>
      <c r="K170" s="7">
        <f t="shared" si="67"/>
        <v>0</v>
      </c>
      <c r="L170" s="141">
        <f>SUM(F170:K170)</f>
        <v>0</v>
      </c>
      <c r="M170" s="140">
        <f>L170-O163</f>
        <v>0</v>
      </c>
      <c r="R170" s="351"/>
    </row>
    <row r="171" spans="1:18" x14ac:dyDescent="0.25">
      <c r="A171" s="1005"/>
      <c r="D171" t="s">
        <v>401</v>
      </c>
      <c r="F171" s="670">
        <v>0</v>
      </c>
      <c r="G171" s="670">
        <v>0</v>
      </c>
      <c r="H171" s="670">
        <v>0</v>
      </c>
      <c r="I171" s="670">
        <v>0</v>
      </c>
      <c r="J171" s="670">
        <v>0</v>
      </c>
      <c r="K171" s="670">
        <v>0</v>
      </c>
      <c r="L171" s="141"/>
      <c r="M171" s="140"/>
      <c r="R171" s="351"/>
    </row>
    <row r="172" spans="1:18" x14ac:dyDescent="0.25">
      <c r="A172" s="171"/>
      <c r="B172" s="171" t="s">
        <v>73</v>
      </c>
      <c r="C172" s="171"/>
      <c r="D172" s="171"/>
      <c r="E172" s="172"/>
      <c r="F172" s="173"/>
      <c r="G172" s="173"/>
      <c r="H172" s="173"/>
      <c r="I172" s="173"/>
      <c r="J172" s="173"/>
      <c r="K172" s="173"/>
      <c r="L172" s="173"/>
      <c r="M172" s="173"/>
      <c r="N172" s="172"/>
      <c r="O172" s="172"/>
      <c r="P172" s="172"/>
      <c r="Q172" s="172"/>
    </row>
    <row r="173" spans="1:18" x14ac:dyDescent="0.25">
      <c r="A173" s="999">
        <v>9257016</v>
      </c>
      <c r="B173" t="str">
        <f>CONCATENATE(A173,C173)</f>
        <v>92570162022/23</v>
      </c>
      <c r="C173" s="667" t="s">
        <v>306</v>
      </c>
      <c r="D173" t="s">
        <v>346</v>
      </c>
      <c r="E173" s="37">
        <f>SUM(F173:K173)</f>
        <v>0</v>
      </c>
      <c r="F173" s="670">
        <f>'2223 MFG Protection'!F182</f>
        <v>0</v>
      </c>
      <c r="G173" s="670">
        <f>'2223 MFG Protection'!G182</f>
        <v>0</v>
      </c>
      <c r="H173" s="670">
        <f>'2223 MFG Protection'!H182</f>
        <v>0</v>
      </c>
      <c r="I173" s="670">
        <f>'2223 MFG Protection'!I182</f>
        <v>0</v>
      </c>
      <c r="J173" s="670">
        <f>'2223 MFG Protection'!J182</f>
        <v>0</v>
      </c>
      <c r="K173" s="670">
        <f>'2223 MFG Protection'!K182</f>
        <v>0</v>
      </c>
      <c r="L173" s="37"/>
      <c r="N173" s="7"/>
      <c r="O173" s="140">
        <f>'2223 MFG Protection'!L181</f>
        <v>0</v>
      </c>
      <c r="R173" s="351"/>
    </row>
    <row r="174" spans="1:18" x14ac:dyDescent="0.25">
      <c r="A174" s="999">
        <v>9257016</v>
      </c>
      <c r="B174" t="str">
        <f>CONCATENATE(A174,C174)</f>
        <v>92570162023/24</v>
      </c>
      <c r="C174" t="s">
        <v>312</v>
      </c>
      <c r="D174" t="str">
        <f>CONCATENATE(A174,C174)</f>
        <v>92570162023/24</v>
      </c>
      <c r="E174" s="37">
        <f>VLOOKUP(A174,'2324 Funding Detail'!$A$4:$M$20,13,(FALSE))</f>
        <v>165.16666666666669</v>
      </c>
      <c r="F174" s="549">
        <f>$E$174*'2324 Band Calculations'!D22</f>
        <v>19.613541666666666</v>
      </c>
      <c r="G174" s="549">
        <f>$E$174*'2324 Band Calculations'!E22</f>
        <v>35.09791666666667</v>
      </c>
      <c r="H174" s="549">
        <f>$E$174*'2324 Band Calculations'!F22</f>
        <v>2.0645833333333337</v>
      </c>
      <c r="I174" s="549">
        <f>$E$174*'2324 Band Calculations'!G22</f>
        <v>40.259375000000006</v>
      </c>
      <c r="J174" s="549">
        <f>$E$174*'2324 Band Calculations'!H22</f>
        <v>29.936458333333334</v>
      </c>
      <c r="K174" s="549">
        <f>$E$174*'2324 Band Calculations'!I22</f>
        <v>3.0968750000000003</v>
      </c>
      <c r="L174" s="169">
        <f>$E$174*'2324 Band Calculations'!J22</f>
        <v>35.09791666666667</v>
      </c>
      <c r="N174" s="7"/>
      <c r="R174" s="351"/>
    </row>
    <row r="175" spans="1:18" x14ac:dyDescent="0.25">
      <c r="A175" s="999">
        <v>9257016</v>
      </c>
      <c r="B175" t="str">
        <f>CONCATENATE(A175,C175)</f>
        <v>9257016</v>
      </c>
      <c r="F175" s="170">
        <f t="shared" ref="F175:K175" si="68">F174-F173</f>
        <v>19.613541666666666</v>
      </c>
      <c r="G175" s="170">
        <f t="shared" si="68"/>
        <v>35.09791666666667</v>
      </c>
      <c r="H175" s="170">
        <f t="shared" si="68"/>
        <v>2.0645833333333337</v>
      </c>
      <c r="I175" s="170">
        <f t="shared" si="68"/>
        <v>40.259375000000006</v>
      </c>
      <c r="J175" s="170">
        <f t="shared" si="68"/>
        <v>29.936458333333334</v>
      </c>
      <c r="K175" s="170">
        <f t="shared" si="68"/>
        <v>3.0968750000000003</v>
      </c>
      <c r="R175" s="351"/>
    </row>
    <row r="176" spans="1:18" x14ac:dyDescent="0.25">
      <c r="A176" s="999">
        <v>9257016</v>
      </c>
      <c r="B176" t="str">
        <f>CONCATENATE(A176,C176)</f>
        <v>9257016a</v>
      </c>
      <c r="C176" t="s">
        <v>349</v>
      </c>
      <c r="D176" t="s">
        <v>346</v>
      </c>
      <c r="F176" s="549">
        <f t="shared" ref="F176:K176" si="69">IF(F173&gt;F174,(F174),(F173))</f>
        <v>0</v>
      </c>
      <c r="G176" s="549">
        <f t="shared" si="69"/>
        <v>0</v>
      </c>
      <c r="H176" s="549">
        <f t="shared" si="69"/>
        <v>0</v>
      </c>
      <c r="I176" s="549">
        <f t="shared" si="69"/>
        <v>0</v>
      </c>
      <c r="J176" s="549">
        <f t="shared" si="69"/>
        <v>0</v>
      </c>
      <c r="K176" s="549">
        <f t="shared" si="69"/>
        <v>0</v>
      </c>
      <c r="L176" s="37"/>
      <c r="M176" s="7"/>
      <c r="O176" s="7"/>
      <c r="P176" s="7"/>
      <c r="R176" s="351"/>
    </row>
    <row r="177" spans="1:18" x14ac:dyDescent="0.25">
      <c r="A177" s="999"/>
      <c r="B177" t="s">
        <v>392</v>
      </c>
      <c r="C177" t="s">
        <v>306</v>
      </c>
      <c r="D177" t="s">
        <v>351</v>
      </c>
      <c r="F177" s="664">
        <f>'2223 MFG Protection'!F180</f>
        <v>0</v>
      </c>
      <c r="G177" s="664">
        <f>'2223 MFG Protection'!G180</f>
        <v>0</v>
      </c>
      <c r="H177" s="664">
        <f>'2223 MFG Protection'!H180</f>
        <v>0</v>
      </c>
      <c r="I177" s="664">
        <f>'2223 MFG Protection'!I180</f>
        <v>0</v>
      </c>
      <c r="J177" s="664">
        <f>'2223 MFG Protection'!J180</f>
        <v>0</v>
      </c>
      <c r="K177" s="664">
        <f>'2223 MFG Protection'!K180</f>
        <v>0</v>
      </c>
      <c r="L177" s="37"/>
      <c r="M177" s="7"/>
      <c r="O177" s="7"/>
      <c r="P177" s="7"/>
      <c r="R177" s="351"/>
    </row>
    <row r="178" spans="1:18" x14ac:dyDescent="0.25">
      <c r="A178" s="999">
        <v>9257016</v>
      </c>
      <c r="B178" t="str">
        <f>CONCATENATE(A178,C178)</f>
        <v>9257016b</v>
      </c>
      <c r="C178" t="s">
        <v>353</v>
      </c>
      <c r="D178" t="s">
        <v>354</v>
      </c>
      <c r="F178" s="664">
        <v>103</v>
      </c>
      <c r="G178" s="664">
        <v>102</v>
      </c>
      <c r="H178" s="664">
        <v>468</v>
      </c>
      <c r="I178" s="664">
        <v>500</v>
      </c>
      <c r="J178" s="664">
        <v>500</v>
      </c>
      <c r="K178" s="664">
        <v>363</v>
      </c>
      <c r="L178" s="37"/>
      <c r="M178" s="7"/>
      <c r="R178" s="351"/>
    </row>
    <row r="179" spans="1:18" x14ac:dyDescent="0.25">
      <c r="A179" s="999"/>
      <c r="B179" t="s">
        <v>393</v>
      </c>
      <c r="C179" t="s">
        <v>312</v>
      </c>
      <c r="D179" t="s">
        <v>351</v>
      </c>
      <c r="F179" s="140">
        <f t="shared" ref="F179:K179" si="70">IF(F177-F178&gt;0,(F177-F178),(0))</f>
        <v>0</v>
      </c>
      <c r="G179" s="140">
        <f t="shared" si="70"/>
        <v>0</v>
      </c>
      <c r="H179" s="140">
        <f t="shared" si="70"/>
        <v>0</v>
      </c>
      <c r="I179" s="140">
        <f t="shared" si="70"/>
        <v>0</v>
      </c>
      <c r="J179" s="140">
        <f t="shared" si="70"/>
        <v>0</v>
      </c>
      <c r="K179" s="140">
        <f t="shared" si="70"/>
        <v>0</v>
      </c>
      <c r="L179" s="37"/>
      <c r="M179" s="7"/>
      <c r="R179" s="351"/>
    </row>
    <row r="180" spans="1:18" x14ac:dyDescent="0.25">
      <c r="A180" s="999">
        <v>9257016</v>
      </c>
      <c r="B180" t="str">
        <f>CONCATENATE(A180,C180)</f>
        <v>9257016c</v>
      </c>
      <c r="C180" t="s">
        <v>357</v>
      </c>
      <c r="D180" t="s">
        <v>217</v>
      </c>
      <c r="F180" s="7">
        <f t="shared" ref="F180:K180" si="71">IF(F179&lt;0,0,(F179*F176))</f>
        <v>0</v>
      </c>
      <c r="G180" s="7">
        <f t="shared" si="71"/>
        <v>0</v>
      </c>
      <c r="H180" s="7">
        <f t="shared" si="71"/>
        <v>0</v>
      </c>
      <c r="I180" s="7">
        <f t="shared" si="71"/>
        <v>0</v>
      </c>
      <c r="J180" s="7">
        <f t="shared" si="71"/>
        <v>0</v>
      </c>
      <c r="K180" s="7">
        <f t="shared" si="71"/>
        <v>0</v>
      </c>
      <c r="L180" s="141">
        <f>SUM(F180:K180)</f>
        <v>0</v>
      </c>
      <c r="M180" s="140">
        <f>L180-O173</f>
        <v>0</v>
      </c>
      <c r="R180" s="351"/>
    </row>
    <row r="181" spans="1:18" x14ac:dyDescent="0.25">
      <c r="A181" s="1005"/>
      <c r="D181" t="s">
        <v>401</v>
      </c>
      <c r="F181" s="670">
        <v>0</v>
      </c>
      <c r="G181" s="670">
        <v>0</v>
      </c>
      <c r="H181" s="670">
        <v>0</v>
      </c>
      <c r="I181" s="670">
        <v>0</v>
      </c>
      <c r="J181" s="670">
        <v>0</v>
      </c>
      <c r="K181" s="670">
        <v>0</v>
      </c>
      <c r="L181" s="141"/>
      <c r="M181" s="140"/>
      <c r="R181" s="351"/>
    </row>
    <row r="182" spans="1:18" x14ac:dyDescent="0.25">
      <c r="A182" s="171"/>
      <c r="B182" s="171"/>
      <c r="C182" s="171"/>
      <c r="D182" s="171"/>
      <c r="E182" s="172"/>
      <c r="F182" s="173"/>
      <c r="G182" s="173"/>
      <c r="H182" s="173"/>
      <c r="I182" s="173"/>
      <c r="J182" s="173"/>
      <c r="K182" s="173"/>
      <c r="L182" s="173"/>
      <c r="M182" s="173"/>
      <c r="N182" s="172"/>
      <c r="O182" s="172"/>
      <c r="P182" s="172"/>
      <c r="Q182" s="172"/>
    </row>
    <row r="184" spans="1:18" x14ac:dyDescent="0.25">
      <c r="E184"/>
      <c r="F184"/>
      <c r="G184"/>
      <c r="H184"/>
      <c r="I184"/>
      <c r="J184" s="2" t="s">
        <v>394</v>
      </c>
      <c r="K184"/>
      <c r="L184" s="141">
        <f>L11+L21+L31+L50+L60+L70+L80+L90+L100+L110+L120+L130+L140+L150+L160+L170+L180</f>
        <v>61023.701224980126</v>
      </c>
      <c r="M184"/>
      <c r="N184"/>
      <c r="O184"/>
      <c r="P184"/>
      <c r="Q184"/>
      <c r="R184"/>
    </row>
    <row r="186" spans="1:18" x14ac:dyDescent="0.25">
      <c r="J186" s="2" t="s">
        <v>395</v>
      </c>
      <c r="L186" s="7">
        <f>'2223 MFG Protection'!L185</f>
        <v>91355.174520499058</v>
      </c>
    </row>
    <row r="188" spans="1:18" x14ac:dyDescent="0.25">
      <c r="J188" s="2" t="s">
        <v>396</v>
      </c>
      <c r="L188" s="7">
        <f>L184-L186</f>
        <v>-30331.473295518932</v>
      </c>
      <c r="M188" s="33" t="s">
        <v>397</v>
      </c>
    </row>
  </sheetData>
  <conditionalFormatting sqref="L188">
    <cfRule type="cellIs" dxfId="1" priority="1"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F303-76AB-4D4E-BF17-523453E87027}">
  <sheetPr>
    <tabColor rgb="FFFFC000"/>
  </sheetPr>
  <dimension ref="A3:Y171"/>
  <sheetViews>
    <sheetView workbookViewId="0">
      <selection activeCell="F25" sqref="F25"/>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9" width="9.54296875" style="2" bestFit="1" customWidth="1"/>
    <col min="10" max="10" width="16" style="2" customWidth="1"/>
    <col min="11" max="11" width="9.08984375" style="2" customWidth="1"/>
    <col min="12" max="12" width="9.54296875" style="2" bestFit="1" customWidth="1"/>
    <col min="13" max="13" width="9.7265625" style="2" bestFit="1" customWidth="1"/>
    <col min="14" max="18" width="8.7265625" style="2"/>
  </cols>
  <sheetData>
    <row r="3" spans="1:25" x14ac:dyDescent="0.25">
      <c r="B3" s="101" t="s">
        <v>894</v>
      </c>
      <c r="E3" s="2" t="s">
        <v>34</v>
      </c>
      <c r="F3" s="2" t="s">
        <v>229</v>
      </c>
      <c r="G3" s="2" t="s">
        <v>230</v>
      </c>
      <c r="H3" s="109" t="s">
        <v>345</v>
      </c>
      <c r="I3" s="2" t="s">
        <v>232</v>
      </c>
      <c r="J3" s="2" t="s">
        <v>233</v>
      </c>
      <c r="K3" s="2" t="s">
        <v>234</v>
      </c>
      <c r="L3" s="109" t="s">
        <v>235</v>
      </c>
      <c r="R3"/>
      <c r="T3" s="552"/>
      <c r="U3" s="552"/>
    </row>
    <row r="4" spans="1:25" ht="13" x14ac:dyDescent="0.3">
      <c r="A4" s="74">
        <v>9257010</v>
      </c>
      <c r="B4" t="str">
        <f>CONCATENATE(A4,C4)</f>
        <v>92570102023/24</v>
      </c>
      <c r="C4" s="672" t="s">
        <v>312</v>
      </c>
      <c r="D4" s="101" t="s">
        <v>346</v>
      </c>
      <c r="E4" s="37">
        <f>SUM(F4:K4)</f>
        <v>21.980621693121694</v>
      </c>
      <c r="F4" s="670">
        <f>'2324 MFG Protection'!F12</f>
        <v>1.3597883597883598</v>
      </c>
      <c r="G4" s="670">
        <f>'2324 MFG Protection'!G12</f>
        <v>20.620833333333334</v>
      </c>
      <c r="H4" s="670">
        <f>'2324 MFG Protection'!H12</f>
        <v>0</v>
      </c>
      <c r="I4" s="670">
        <f>'2324 MFG Protection'!I12</f>
        <v>0</v>
      </c>
      <c r="J4" s="670">
        <f>'2324 MFG Protection'!J12</f>
        <v>0</v>
      </c>
      <c r="K4" s="670">
        <f>'2324 MFG Protection'!K12</f>
        <v>0</v>
      </c>
      <c r="L4" s="37"/>
      <c r="N4" s="7"/>
      <c r="O4" s="140">
        <f>'2324 MFG Protection'!L11</f>
        <v>2325.8415308553208</v>
      </c>
      <c r="P4" s="152" t="s">
        <v>897</v>
      </c>
      <c r="R4" s="354"/>
      <c r="T4" s="553" t="s">
        <v>348</v>
      </c>
      <c r="U4" s="552"/>
      <c r="V4" s="58"/>
      <c r="W4" s="58"/>
      <c r="X4" s="58"/>
      <c r="Y4" s="58"/>
    </row>
    <row r="5" spans="1:25" ht="12.75" customHeight="1" x14ac:dyDescent="0.25">
      <c r="A5" s="74">
        <v>9257010</v>
      </c>
      <c r="B5" t="str">
        <f>CONCATENATE(A5,C5)</f>
        <v>92570102024/25</v>
      </c>
      <c r="C5" s="101" t="s">
        <v>890</v>
      </c>
      <c r="E5" s="37">
        <f>VLOOKUP(A5,'2425 Funding Detail'!$A$4:$M$20,12,(FALSE))</f>
        <v>152.83333333333334</v>
      </c>
      <c r="F5" s="549">
        <f>$E$5*'2425 Band Calculations'!D6</f>
        <v>13.608447488584474</v>
      </c>
      <c r="G5" s="549">
        <f>$E$5*'2425 Band Calculations'!E6</f>
        <v>60.714611872146122</v>
      </c>
      <c r="H5" s="549">
        <f>$E$5*'2425 Band Calculations'!F6</f>
        <v>7.3276255707762559</v>
      </c>
      <c r="I5" s="549">
        <f>$E$5*'2425 Band Calculations'!G6</f>
        <v>32.450913242009136</v>
      </c>
      <c r="J5" s="549">
        <f>$E$5*'2425 Band Calculations'!H6</f>
        <v>8.3744292237442917</v>
      </c>
      <c r="K5" s="549">
        <f>$E$5*'2425 Band Calculations'!I6</f>
        <v>14.655251141552512</v>
      </c>
      <c r="L5" s="169">
        <f>$E$5*'2425 Band Calculations'!J6</f>
        <v>15.702054794520548</v>
      </c>
      <c r="N5" s="7"/>
      <c r="O5" s="7"/>
      <c r="P5" s="7"/>
      <c r="R5" s="354"/>
      <c r="T5" s="554"/>
      <c r="U5" s="554"/>
      <c r="V5" s="551"/>
      <c r="W5" s="551"/>
      <c r="X5" s="551"/>
      <c r="Y5" s="551"/>
    </row>
    <row r="6" spans="1:25" x14ac:dyDescent="0.25">
      <c r="A6" s="74">
        <v>9257010</v>
      </c>
      <c r="B6" t="str">
        <f t="shared" ref="B6:B11" si="0">CONCATENATE(A6,C6)</f>
        <v>9257010</v>
      </c>
      <c r="F6" s="170">
        <f>F5-F4</f>
        <v>12.248659128796115</v>
      </c>
      <c r="G6" s="170">
        <f t="shared" ref="G6:K6" si="1">G5-G4</f>
        <v>40.093778538812785</v>
      </c>
      <c r="H6" s="170">
        <f t="shared" si="1"/>
        <v>7.3276255707762559</v>
      </c>
      <c r="I6" s="170">
        <f t="shared" si="1"/>
        <v>32.450913242009136</v>
      </c>
      <c r="J6" s="170">
        <f t="shared" si="1"/>
        <v>8.3744292237442917</v>
      </c>
      <c r="K6" s="170">
        <f t="shared" si="1"/>
        <v>14.655251141552512</v>
      </c>
      <c r="N6" s="7"/>
      <c r="O6" s="7"/>
      <c r="P6" s="7"/>
      <c r="R6" s="354"/>
      <c r="T6" s="554"/>
      <c r="U6" s="554"/>
      <c r="V6" s="551"/>
      <c r="W6" s="551"/>
      <c r="X6" s="551"/>
      <c r="Y6" s="551"/>
    </row>
    <row r="7" spans="1:25" x14ac:dyDescent="0.25">
      <c r="A7" s="74">
        <v>9257010</v>
      </c>
      <c r="B7" t="str">
        <f t="shared" si="0"/>
        <v>9257010a</v>
      </c>
      <c r="C7" s="101" t="s">
        <v>349</v>
      </c>
      <c r="D7" s="101" t="s">
        <v>346</v>
      </c>
      <c r="F7" s="549">
        <f>IF(F4&gt;F5,(F5),(F4))</f>
        <v>1.3597883597883598</v>
      </c>
      <c r="G7" s="549">
        <f t="shared" ref="G7:K7" si="2">IF(G4&gt;G5,(G5),(G4))</f>
        <v>20.620833333333334</v>
      </c>
      <c r="H7" s="549">
        <f t="shared" si="2"/>
        <v>0</v>
      </c>
      <c r="I7" s="549">
        <f t="shared" si="2"/>
        <v>0</v>
      </c>
      <c r="J7" s="549">
        <f t="shared" si="2"/>
        <v>0</v>
      </c>
      <c r="K7" s="549">
        <f t="shared" si="2"/>
        <v>0</v>
      </c>
      <c r="L7" s="37"/>
      <c r="M7" s="7"/>
      <c r="N7" s="7"/>
      <c r="O7" s="7"/>
      <c r="P7" s="7"/>
      <c r="R7" s="354"/>
      <c r="T7" s="554"/>
      <c r="U7" s="554"/>
      <c r="V7" s="551"/>
      <c r="W7" s="551"/>
      <c r="X7" s="551"/>
      <c r="Y7" s="551"/>
    </row>
    <row r="8" spans="1:25" x14ac:dyDescent="0.25">
      <c r="A8" s="74">
        <v>9257010</v>
      </c>
      <c r="B8" s="101" t="s">
        <v>350</v>
      </c>
      <c r="C8" s="101" t="s">
        <v>312</v>
      </c>
      <c r="D8" s="101" t="s">
        <v>351</v>
      </c>
      <c r="F8" s="671">
        <f>'2324 MFG Protection'!F10</f>
        <v>144.97644559903938</v>
      </c>
      <c r="G8" s="671">
        <f>'2324 MFG Protection'!G10</f>
        <v>103.23075761662994</v>
      </c>
      <c r="H8" s="671">
        <f>'2324 MFG Protection'!H10</f>
        <v>0</v>
      </c>
      <c r="I8" s="671">
        <f>'2324 MFG Protection'!I10</f>
        <v>0</v>
      </c>
      <c r="J8" s="671">
        <f>'2324 MFG Protection'!J10</f>
        <v>0</v>
      </c>
      <c r="K8" s="671">
        <f>'2324 MFG Protection'!K10</f>
        <v>0</v>
      </c>
      <c r="L8" s="37"/>
      <c r="M8" s="152" t="s">
        <v>352</v>
      </c>
      <c r="N8" s="7"/>
      <c r="O8" s="7"/>
      <c r="P8" s="7"/>
      <c r="R8" s="354"/>
      <c r="T8" s="547"/>
      <c r="U8" s="547"/>
      <c r="V8" s="547"/>
      <c r="W8" s="547"/>
      <c r="X8" s="547"/>
      <c r="Y8" s="547"/>
    </row>
    <row r="9" spans="1:25" x14ac:dyDescent="0.25">
      <c r="A9" s="74">
        <v>9257010</v>
      </c>
      <c r="B9" t="str">
        <f>CONCATENATE(A9,C9)</f>
        <v>9257010b</v>
      </c>
      <c r="C9" s="101" t="s">
        <v>353</v>
      </c>
      <c r="D9" s="101" t="s">
        <v>354</v>
      </c>
      <c r="F9" s="671">
        <f>'2425 Band Calculations'!G88-'2324 Band Calculations'!G88</f>
        <v>103</v>
      </c>
      <c r="G9" s="671">
        <f>'2425 Band Calculations'!G90-'2324 Band Calculations'!G90</f>
        <v>102</v>
      </c>
      <c r="H9" s="671">
        <f>'2425 Band Calculations'!G92-'2324 Band Calculations'!G92</f>
        <v>468</v>
      </c>
      <c r="I9" s="671">
        <f>'2425 Band Calculations'!G94-'2324 Band Calculations'!G94</f>
        <v>500</v>
      </c>
      <c r="J9" s="671">
        <f>'2425 Band Calculations'!G96-'2324 Band Calculations'!G96</f>
        <v>500</v>
      </c>
      <c r="K9" s="671">
        <f>'2425 Band Calculations'!G98-'2324 Band Calculations'!G98</f>
        <v>363</v>
      </c>
      <c r="L9" s="37"/>
      <c r="M9" s="152" t="s">
        <v>355</v>
      </c>
      <c r="R9" s="354"/>
    </row>
    <row r="10" spans="1:25" x14ac:dyDescent="0.25">
      <c r="A10" s="74">
        <v>9257010</v>
      </c>
      <c r="B10" s="101" t="s">
        <v>356</v>
      </c>
      <c r="C10" s="101" t="s">
        <v>890</v>
      </c>
      <c r="D10" s="101" t="s">
        <v>351</v>
      </c>
      <c r="F10" s="550">
        <f>IF(F8-F9&gt;0,(F8-F9),(0))</f>
        <v>41.97644559903938</v>
      </c>
      <c r="G10" s="550">
        <f t="shared" ref="G10:K10" si="3">IF(G8-G9&gt;0,(G8-G9),(0))</f>
        <v>1.2307576166299441</v>
      </c>
      <c r="H10" s="550">
        <f t="shared" si="3"/>
        <v>0</v>
      </c>
      <c r="I10" s="550">
        <f t="shared" si="3"/>
        <v>0</v>
      </c>
      <c r="J10" s="550">
        <f t="shared" si="3"/>
        <v>0</v>
      </c>
      <c r="K10" s="550">
        <f t="shared" si="3"/>
        <v>0</v>
      </c>
      <c r="L10" s="37"/>
      <c r="M10" s="152"/>
      <c r="R10" s="354"/>
    </row>
    <row r="11" spans="1:25" x14ac:dyDescent="0.25">
      <c r="A11" s="74">
        <v>9257010</v>
      </c>
      <c r="B11" t="str">
        <f t="shared" si="0"/>
        <v>9257010c</v>
      </c>
      <c r="C11" s="101" t="s">
        <v>357</v>
      </c>
      <c r="D11" s="101" t="s">
        <v>217</v>
      </c>
      <c r="F11" s="7">
        <f>IF(F10&lt;0,0,(F10*F7))</f>
        <v>57.079082110863069</v>
      </c>
      <c r="G11" s="7">
        <f t="shared" ref="G11:K11" si="4">IF(G10&lt;0,0,(G10*G7))</f>
        <v>25.37924768625664</v>
      </c>
      <c r="H11" s="7">
        <f t="shared" si="4"/>
        <v>0</v>
      </c>
      <c r="I11" s="7">
        <f t="shared" si="4"/>
        <v>0</v>
      </c>
      <c r="J11" s="7">
        <f t="shared" si="4"/>
        <v>0</v>
      </c>
      <c r="K11" s="7">
        <f t="shared" si="4"/>
        <v>0</v>
      </c>
      <c r="L11" s="141">
        <f>SUM(F11:K11)</f>
        <v>82.458329797119717</v>
      </c>
      <c r="M11" s="140">
        <f>L11-O4</f>
        <v>-2243.3832010582009</v>
      </c>
      <c r="R11" s="354"/>
    </row>
    <row r="12" spans="1:25" x14ac:dyDescent="0.25">
      <c r="A12" s="632"/>
      <c r="B12" s="633" t="s">
        <v>63</v>
      </c>
      <c r="C12" s="174"/>
      <c r="D12" s="174"/>
      <c r="E12" s="175"/>
      <c r="F12" s="176"/>
      <c r="G12" s="176"/>
      <c r="H12" s="176"/>
      <c r="I12" s="176"/>
      <c r="J12" s="176"/>
      <c r="K12" s="176"/>
      <c r="L12" s="176"/>
      <c r="M12" s="175"/>
      <c r="N12" s="175"/>
      <c r="O12" s="175"/>
      <c r="P12" s="175"/>
      <c r="Q12" s="175"/>
      <c r="R12"/>
    </row>
    <row r="13" spans="1:25" x14ac:dyDescent="0.25">
      <c r="A13" s="74">
        <v>9257005</v>
      </c>
      <c r="B13" t="str">
        <f>CONCATENATE(A13,C13)</f>
        <v>92570052023/24</v>
      </c>
      <c r="C13" s="672" t="s">
        <v>312</v>
      </c>
      <c r="D13" s="101" t="s">
        <v>346</v>
      </c>
      <c r="E13" s="37">
        <f>SUM(F13:K13)</f>
        <v>0</v>
      </c>
      <c r="F13" s="670">
        <f>'2324 MFG Protection'!F22</f>
        <v>0</v>
      </c>
      <c r="G13" s="670">
        <f>'2324 MFG Protection'!G22</f>
        <v>0</v>
      </c>
      <c r="H13" s="670">
        <f>'2324 MFG Protection'!H22</f>
        <v>0</v>
      </c>
      <c r="I13" s="670">
        <f>'2324 MFG Protection'!I22</f>
        <v>0</v>
      </c>
      <c r="J13" s="670">
        <f>'2324 MFG Protection'!J22</f>
        <v>0</v>
      </c>
      <c r="K13" s="670">
        <f>'2324 MFG Protection'!K22</f>
        <v>0</v>
      </c>
      <c r="L13" s="37"/>
      <c r="N13" s="7"/>
      <c r="O13" s="140">
        <f>'2324 MFG Protection'!L21</f>
        <v>0</v>
      </c>
      <c r="P13" s="7"/>
      <c r="R13" s="354"/>
    </row>
    <row r="14" spans="1:25" x14ac:dyDescent="0.25">
      <c r="A14" s="74">
        <v>9257005</v>
      </c>
      <c r="B14" t="str">
        <f>CONCATENATE(A14,C14)</f>
        <v>92570052024/25</v>
      </c>
      <c r="C14" s="101" t="s">
        <v>890</v>
      </c>
      <c r="D14" t="str">
        <f>CONCATENATE(A14,C14)</f>
        <v>92570052024/25</v>
      </c>
      <c r="E14" s="37">
        <f>VLOOKUP(A14,'2425 Funding Detail'!$A$4:$M$20,12,(FALSE))</f>
        <v>75.583333333333343</v>
      </c>
      <c r="F14" s="549">
        <f>$E$14*'2425 Band Calculations'!D6</f>
        <v>6.7300228310502286</v>
      </c>
      <c r="G14" s="549">
        <f>$E$14*'2425 Band Calculations'!E6</f>
        <v>30.026255707762559</v>
      </c>
      <c r="H14" s="549">
        <f>$E$14*'2425 Band Calculations'!F6</f>
        <v>3.6238584474885847</v>
      </c>
      <c r="I14" s="549">
        <f>$E$14*'2425 Band Calculations'!G6</f>
        <v>16.048515981735161</v>
      </c>
      <c r="J14" s="549">
        <f>$E$14*'2425 Band Calculations'!H6</f>
        <v>4.1415525114155258</v>
      </c>
      <c r="K14" s="549">
        <f>$E$14*'2425 Band Calculations'!I6</f>
        <v>7.2477168949771693</v>
      </c>
      <c r="L14" s="169">
        <f>$E$14*'2425 Band Calculations'!J6</f>
        <v>7.76541095890411</v>
      </c>
      <c r="N14" s="7"/>
      <c r="O14" s="7"/>
      <c r="P14" s="7"/>
      <c r="R14" s="354"/>
    </row>
    <row r="15" spans="1:25" x14ac:dyDescent="0.25">
      <c r="A15" s="74">
        <v>9257005</v>
      </c>
      <c r="B15" t="str">
        <f t="shared" ref="B15:B18" si="5">CONCATENATE(A15,C15)</f>
        <v>9257005</v>
      </c>
      <c r="E15" s="37"/>
      <c r="F15" s="170">
        <f t="shared" ref="F15:K15" si="6">F14-F13</f>
        <v>6.7300228310502286</v>
      </c>
      <c r="G15" s="170">
        <f t="shared" si="6"/>
        <v>30.026255707762559</v>
      </c>
      <c r="H15" s="170">
        <f t="shared" si="6"/>
        <v>3.6238584474885847</v>
      </c>
      <c r="I15" s="170">
        <f t="shared" si="6"/>
        <v>16.048515981735161</v>
      </c>
      <c r="J15" s="170">
        <f t="shared" si="6"/>
        <v>4.1415525114155258</v>
      </c>
      <c r="K15" s="170">
        <f t="shared" si="6"/>
        <v>7.2477168949771693</v>
      </c>
      <c r="L15" s="169"/>
      <c r="N15" s="7"/>
      <c r="O15" s="7"/>
      <c r="P15" s="7"/>
      <c r="R15" s="354"/>
    </row>
    <row r="16" spans="1:25" x14ac:dyDescent="0.25">
      <c r="A16" s="74">
        <v>9257005</v>
      </c>
      <c r="B16" t="str">
        <f t="shared" si="5"/>
        <v>9257005a</v>
      </c>
      <c r="C16" s="101" t="s">
        <v>349</v>
      </c>
      <c r="D16" s="101" t="s">
        <v>346</v>
      </c>
      <c r="F16" s="549">
        <f t="shared" ref="F16:K16" si="7">IF(F13&gt;F14,(F14),(F13))</f>
        <v>0</v>
      </c>
      <c r="G16" s="549">
        <f t="shared" si="7"/>
        <v>0</v>
      </c>
      <c r="H16" s="549">
        <f t="shared" si="7"/>
        <v>0</v>
      </c>
      <c r="I16" s="549">
        <f t="shared" si="7"/>
        <v>0</v>
      </c>
      <c r="J16" s="549">
        <f t="shared" si="7"/>
        <v>0</v>
      </c>
      <c r="K16" s="549">
        <f t="shared" si="7"/>
        <v>0</v>
      </c>
      <c r="L16" s="37"/>
      <c r="M16" s="7"/>
      <c r="N16" s="7"/>
      <c r="O16" s="7"/>
      <c r="P16" s="7"/>
      <c r="R16" s="354"/>
    </row>
    <row r="17" spans="1:18" x14ac:dyDescent="0.25">
      <c r="A17" s="74"/>
      <c r="B17" s="101" t="s">
        <v>358</v>
      </c>
      <c r="C17" s="101" t="s">
        <v>312</v>
      </c>
      <c r="D17" s="101" t="s">
        <v>351</v>
      </c>
      <c r="F17" s="671">
        <f>'2324 MFG Protection'!F20</f>
        <v>0</v>
      </c>
      <c r="G17" s="671">
        <f>'2324 MFG Protection'!G20</f>
        <v>0</v>
      </c>
      <c r="H17" s="671">
        <f>'2324 MFG Protection'!H20</f>
        <v>0</v>
      </c>
      <c r="I17" s="671">
        <f>'2324 MFG Protection'!I20</f>
        <v>0</v>
      </c>
      <c r="J17" s="671">
        <f>'2324 MFG Protection'!J20</f>
        <v>0</v>
      </c>
      <c r="K17" s="671">
        <f>'2324 MFG Protection'!K20</f>
        <v>0</v>
      </c>
      <c r="L17" s="37"/>
      <c r="M17" s="7"/>
      <c r="N17" s="7"/>
      <c r="O17" s="7"/>
      <c r="P17" s="7"/>
      <c r="R17" s="354"/>
    </row>
    <row r="18" spans="1:18" x14ac:dyDescent="0.25">
      <c r="A18" s="74">
        <v>9257005</v>
      </c>
      <c r="B18" t="str">
        <f t="shared" si="5"/>
        <v>9257005b</v>
      </c>
      <c r="C18" s="101" t="s">
        <v>353</v>
      </c>
      <c r="D18" s="101" t="s">
        <v>354</v>
      </c>
      <c r="F18" s="671">
        <v>103</v>
      </c>
      <c r="G18" s="671">
        <v>102</v>
      </c>
      <c r="H18" s="671">
        <v>468</v>
      </c>
      <c r="I18" s="671">
        <v>500</v>
      </c>
      <c r="J18" s="671">
        <v>500</v>
      </c>
      <c r="K18" s="671">
        <v>363</v>
      </c>
      <c r="L18" s="37"/>
      <c r="M18" s="7"/>
      <c r="N18" s="7"/>
      <c r="O18" s="7"/>
      <c r="R18" s="354"/>
    </row>
    <row r="19" spans="1:18" x14ac:dyDescent="0.25">
      <c r="A19" s="74"/>
      <c r="B19" s="101" t="s">
        <v>359</v>
      </c>
      <c r="C19" s="101" t="s">
        <v>890</v>
      </c>
      <c r="D19" s="101" t="s">
        <v>351</v>
      </c>
      <c r="F19" s="550">
        <f>IF(F17-F18&gt;0,(F17-F18),(0))</f>
        <v>0</v>
      </c>
      <c r="G19" s="550">
        <f t="shared" ref="G19:K19" si="8">IF(G17-G18&gt;0,(G17-G18),(0))</f>
        <v>0</v>
      </c>
      <c r="H19" s="550">
        <f t="shared" si="8"/>
        <v>0</v>
      </c>
      <c r="I19" s="550">
        <f t="shared" si="8"/>
        <v>0</v>
      </c>
      <c r="J19" s="550">
        <f t="shared" si="8"/>
        <v>0</v>
      </c>
      <c r="K19" s="550">
        <f t="shared" si="8"/>
        <v>0</v>
      </c>
      <c r="L19" s="37"/>
      <c r="M19" s="7"/>
      <c r="N19" s="7"/>
      <c r="O19" s="7"/>
      <c r="R19" s="354"/>
    </row>
    <row r="20" spans="1:18" x14ac:dyDescent="0.25">
      <c r="A20" s="74">
        <v>9257005</v>
      </c>
      <c r="B20" t="str">
        <f>CONCATENATE(A20,C20)</f>
        <v>9257005c</v>
      </c>
      <c r="C20" s="101" t="s">
        <v>357</v>
      </c>
      <c r="D20" s="101" t="s">
        <v>217</v>
      </c>
      <c r="F20" s="7">
        <f>IF(F19&lt;0,0,(F19*F16))</f>
        <v>0</v>
      </c>
      <c r="G20" s="7">
        <f t="shared" ref="G20:K20" si="9">IF(G19&lt;0,0,(G19*G16))</f>
        <v>0</v>
      </c>
      <c r="H20" s="7">
        <f t="shared" si="9"/>
        <v>0</v>
      </c>
      <c r="I20" s="7">
        <f t="shared" si="9"/>
        <v>0</v>
      </c>
      <c r="J20" s="7">
        <f t="shared" si="9"/>
        <v>0</v>
      </c>
      <c r="K20" s="7">
        <f t="shared" si="9"/>
        <v>0</v>
      </c>
      <c r="L20" s="141">
        <f>SUM(F20:K20)</f>
        <v>0</v>
      </c>
      <c r="M20" s="140">
        <f>L20-O13</f>
        <v>0</v>
      </c>
      <c r="N20" s="7"/>
      <c r="O20" s="7"/>
      <c r="R20" s="354"/>
    </row>
    <row r="21" spans="1:18" x14ac:dyDescent="0.25">
      <c r="A21" s="634"/>
      <c r="B21" s="374" t="s">
        <v>64</v>
      </c>
      <c r="C21" s="171"/>
      <c r="D21" s="171"/>
      <c r="E21" s="172"/>
      <c r="F21" s="172"/>
      <c r="G21" s="172"/>
      <c r="H21" s="172"/>
      <c r="I21" s="172"/>
      <c r="J21" s="172"/>
      <c r="K21" s="172"/>
      <c r="L21" s="172"/>
      <c r="M21" s="172"/>
      <c r="N21" s="172"/>
      <c r="O21" s="172"/>
      <c r="P21" s="172"/>
      <c r="Q21" s="172"/>
      <c r="R21"/>
    </row>
    <row r="22" spans="1:18" x14ac:dyDescent="0.25">
      <c r="A22" s="74">
        <v>9257025</v>
      </c>
      <c r="B22" t="str">
        <f>CONCATENATE(A22,C22)</f>
        <v>92570252023/24</v>
      </c>
      <c r="C22" s="672" t="s">
        <v>312</v>
      </c>
      <c r="D22" s="101" t="s">
        <v>346</v>
      </c>
      <c r="E22" s="37">
        <f>SUM(F22:K22)</f>
        <v>32.986201391264686</v>
      </c>
      <c r="F22" s="673">
        <f>'2324 MFG Protection'!F41</f>
        <v>11.754219409282701</v>
      </c>
      <c r="G22" s="673">
        <f>'2324 MFG Protection'!G41</f>
        <v>21.231981981981988</v>
      </c>
      <c r="H22" s="673">
        <f>'2324 MFG Protection'!H41</f>
        <v>0</v>
      </c>
      <c r="I22" s="673">
        <f>'2324 MFG Protection'!I41</f>
        <v>0</v>
      </c>
      <c r="J22" s="673">
        <f>'2324 MFG Protection'!J41</f>
        <v>0</v>
      </c>
      <c r="K22" s="673">
        <f>'2324 MFG Protection'!K41</f>
        <v>0</v>
      </c>
      <c r="L22" s="169"/>
      <c r="N22" s="7"/>
      <c r="O22" s="140">
        <f>'2324 MFG Protection'!L31</f>
        <v>8581.1995982040153</v>
      </c>
      <c r="P22" s="7"/>
      <c r="R22" s="354"/>
    </row>
    <row r="23" spans="1:18" x14ac:dyDescent="0.25">
      <c r="A23" s="74">
        <v>9257025</v>
      </c>
      <c r="B23" t="str">
        <f>CONCATENATE(A23,C23)</f>
        <v>92570252024/25</v>
      </c>
      <c r="C23" s="101" t="s">
        <v>890</v>
      </c>
      <c r="D23" t="str">
        <f>CONCATENATE(A23,C23)</f>
        <v>92570252024/25</v>
      </c>
      <c r="E23" s="37">
        <f>VLOOKUP(A23,'2425 Funding Detail'!$A$4:$M$20,12,(FALSE))</f>
        <v>106.08333333333334</v>
      </c>
      <c r="F23" s="549">
        <f>$E$23*'2425 Band Calculations'!D8</f>
        <v>8.8402777777777786</v>
      </c>
      <c r="G23" s="549">
        <f>$E$23*'2425 Band Calculations'!E8</f>
        <v>68.512152777777786</v>
      </c>
      <c r="H23" s="549">
        <f>$E$23*'2425 Band Calculations'!F8</f>
        <v>4.4201388888888893</v>
      </c>
      <c r="I23" s="549">
        <f>$E$23*'2425 Band Calculations'!G8</f>
        <v>13.260416666666668</v>
      </c>
      <c r="J23" s="549">
        <f>$E$23*'2425 Band Calculations'!H8</f>
        <v>0</v>
      </c>
      <c r="K23" s="549">
        <f>$E$23*'2425 Band Calculations'!I8</f>
        <v>7.7352430555555571</v>
      </c>
      <c r="L23" s="169">
        <f>$E$23*'2425 Band Calculations'!J8</f>
        <v>3.315104166666667</v>
      </c>
      <c r="N23" s="7"/>
      <c r="O23" s="7"/>
      <c r="P23" s="7"/>
      <c r="R23" s="351"/>
    </row>
    <row r="24" spans="1:18" x14ac:dyDescent="0.25">
      <c r="A24" s="74">
        <v>9257025</v>
      </c>
      <c r="B24" t="str">
        <f t="shared" ref="B24:B27" si="10">CONCATENATE(A24,C24)</f>
        <v>9257025</v>
      </c>
      <c r="E24" s="37"/>
      <c r="F24" s="170">
        <f t="shared" ref="F24:K24" si="11">F23-F22</f>
        <v>-2.9139416315049225</v>
      </c>
      <c r="G24" s="170">
        <f t="shared" si="11"/>
        <v>47.280170795795797</v>
      </c>
      <c r="H24" s="170">
        <f t="shared" si="11"/>
        <v>4.4201388888888893</v>
      </c>
      <c r="I24" s="170">
        <f t="shared" si="11"/>
        <v>13.260416666666668</v>
      </c>
      <c r="J24" s="170">
        <f t="shared" si="11"/>
        <v>0</v>
      </c>
      <c r="K24" s="170">
        <f t="shared" si="11"/>
        <v>7.7352430555555571</v>
      </c>
      <c r="L24" s="169"/>
      <c r="N24" s="7"/>
      <c r="O24" s="7"/>
      <c r="P24" s="7"/>
      <c r="R24" s="351"/>
    </row>
    <row r="25" spans="1:18" x14ac:dyDescent="0.25">
      <c r="A25" s="74">
        <v>9257025</v>
      </c>
      <c r="B25" t="str">
        <f t="shared" si="10"/>
        <v>9257025a</v>
      </c>
      <c r="C25" s="101" t="s">
        <v>349</v>
      </c>
      <c r="D25" s="101" t="s">
        <v>346</v>
      </c>
      <c r="F25" s="549">
        <f t="shared" ref="F25:K25" si="12">IF(F22&gt;F23,(F23),(F22))</f>
        <v>8.8402777777777786</v>
      </c>
      <c r="G25" s="549">
        <f t="shared" si="12"/>
        <v>21.231981981981988</v>
      </c>
      <c r="H25" s="549">
        <f t="shared" si="12"/>
        <v>0</v>
      </c>
      <c r="I25" s="549">
        <f t="shared" si="12"/>
        <v>0</v>
      </c>
      <c r="J25" s="549">
        <f t="shared" si="12"/>
        <v>0</v>
      </c>
      <c r="K25" s="549">
        <f t="shared" si="12"/>
        <v>0</v>
      </c>
      <c r="L25" s="37"/>
      <c r="M25" s="7"/>
      <c r="N25" s="7"/>
      <c r="O25" s="7"/>
      <c r="P25" s="7"/>
      <c r="R25" s="351"/>
    </row>
    <row r="26" spans="1:18" x14ac:dyDescent="0.25">
      <c r="A26" s="74"/>
      <c r="B26" s="101" t="s">
        <v>360</v>
      </c>
      <c r="C26" s="101" t="s">
        <v>312</v>
      </c>
      <c r="D26" s="101" t="s">
        <v>351</v>
      </c>
      <c r="F26" s="671">
        <f>'2324 MFG Protection'!F30</f>
        <v>287.01526377569326</v>
      </c>
      <c r="G26" s="671">
        <f>'2324 MFG Protection'!G30</f>
        <v>245.26957579328382</v>
      </c>
      <c r="H26" s="671">
        <f>'2324 MFG Protection'!H30</f>
        <v>0</v>
      </c>
      <c r="I26" s="671">
        <f>'2324 MFG Protection'!I30</f>
        <v>0</v>
      </c>
      <c r="J26" s="671">
        <f>'2324 MFG Protection'!J30</f>
        <v>0</v>
      </c>
      <c r="K26" s="671">
        <f>'2324 MFG Protection'!K30</f>
        <v>0</v>
      </c>
      <c r="L26" s="37"/>
      <c r="M26" s="7"/>
      <c r="N26" s="7"/>
      <c r="O26" s="7"/>
      <c r="P26" s="7"/>
      <c r="R26" s="351"/>
    </row>
    <row r="27" spans="1:18" x14ac:dyDescent="0.25">
      <c r="A27" s="74">
        <v>9257025</v>
      </c>
      <c r="B27" t="str">
        <f t="shared" si="10"/>
        <v>9257025b</v>
      </c>
      <c r="C27" s="101" t="s">
        <v>353</v>
      </c>
      <c r="D27" s="101" t="s">
        <v>354</v>
      </c>
      <c r="F27" s="671">
        <v>103</v>
      </c>
      <c r="G27" s="671">
        <v>102</v>
      </c>
      <c r="H27" s="671">
        <v>468</v>
      </c>
      <c r="I27" s="671">
        <v>500</v>
      </c>
      <c r="J27" s="671">
        <v>500</v>
      </c>
      <c r="K27" s="671">
        <v>363</v>
      </c>
      <c r="L27" s="37"/>
      <c r="M27" s="7"/>
      <c r="N27" s="7"/>
      <c r="O27" s="7"/>
      <c r="R27" s="351"/>
    </row>
    <row r="28" spans="1:18" x14ac:dyDescent="0.25">
      <c r="A28" s="74"/>
      <c r="B28" s="101" t="s">
        <v>361</v>
      </c>
      <c r="C28" s="101" t="s">
        <v>890</v>
      </c>
      <c r="D28" s="101" t="s">
        <v>351</v>
      </c>
      <c r="F28" s="550">
        <f>IF(F26-F27&gt;0,(F26-F27),(0))</f>
        <v>184.01526377569326</v>
      </c>
      <c r="G28" s="550">
        <f t="shared" ref="G28:K28" si="13">IF(G26-G27&gt;0,(G26-G27),(0))</f>
        <v>143.26957579328382</v>
      </c>
      <c r="H28" s="550">
        <f t="shared" si="13"/>
        <v>0</v>
      </c>
      <c r="I28" s="550">
        <f t="shared" si="13"/>
        <v>0</v>
      </c>
      <c r="J28" s="550">
        <f t="shared" si="13"/>
        <v>0</v>
      </c>
      <c r="K28" s="550">
        <f t="shared" si="13"/>
        <v>0</v>
      </c>
      <c r="L28" s="37"/>
      <c r="M28" s="7"/>
      <c r="N28" s="7"/>
      <c r="O28" s="7"/>
      <c r="R28" s="351"/>
    </row>
    <row r="29" spans="1:18" x14ac:dyDescent="0.25">
      <c r="A29" s="74">
        <v>9257025</v>
      </c>
      <c r="B29" t="str">
        <f>CONCATENATE(A29,C29)</f>
        <v>9257025c</v>
      </c>
      <c r="C29" s="101" t="s">
        <v>357</v>
      </c>
      <c r="D29" s="101" t="s">
        <v>217</v>
      </c>
      <c r="F29" s="7">
        <f>IF(F28&lt;0,0,(F28*F25))</f>
        <v>1626.7460471281772</v>
      </c>
      <c r="G29" s="7">
        <f>IF(G28&lt;0,0,(G28*G25))</f>
        <v>3041.8970518092051</v>
      </c>
      <c r="H29" s="7">
        <f t="shared" ref="H29:K29" si="14">IF(H28&lt;0,0,(H28*H25))</f>
        <v>0</v>
      </c>
      <c r="I29" s="7">
        <f t="shared" si="14"/>
        <v>0</v>
      </c>
      <c r="J29" s="7">
        <f t="shared" si="14"/>
        <v>0</v>
      </c>
      <c r="K29" s="7">
        <f t="shared" si="14"/>
        <v>0</v>
      </c>
      <c r="L29" s="141">
        <f>SUM(F29:K29)</f>
        <v>4668.6430989373821</v>
      </c>
      <c r="M29" s="140">
        <f>L29-O22</f>
        <v>-3912.5564992666332</v>
      </c>
      <c r="N29" s="7"/>
      <c r="O29" s="7"/>
      <c r="R29" s="351"/>
    </row>
    <row r="30" spans="1:18" hidden="1" x14ac:dyDescent="0.25">
      <c r="A30" s="634"/>
      <c r="B30" s="374" t="s">
        <v>65</v>
      </c>
      <c r="C30" s="171"/>
      <c r="D30" s="171"/>
      <c r="E30" s="172"/>
      <c r="F30" s="172"/>
      <c r="G30" s="172"/>
      <c r="H30" s="172"/>
      <c r="I30" s="172"/>
      <c r="J30" s="172"/>
      <c r="K30" s="172"/>
      <c r="L30" s="172"/>
      <c r="M30" s="172"/>
      <c r="N30" s="172"/>
      <c r="O30" s="172"/>
      <c r="P30" s="172"/>
      <c r="Q30" s="172"/>
    </row>
    <row r="31" spans="1:18" hidden="1" x14ac:dyDescent="0.25">
      <c r="A31" s="74">
        <v>9257011</v>
      </c>
      <c r="B31" t="str">
        <f>CONCATENATE(A31,C31)</f>
        <v>92570112021/22</v>
      </c>
      <c r="C31" s="101" t="s">
        <v>305</v>
      </c>
      <c r="D31" s="101" t="s">
        <v>346</v>
      </c>
      <c r="E31" s="37" t="e">
        <f>SUM(#REF!)</f>
        <v>#REF!</v>
      </c>
      <c r="F31" s="548" t="e">
        <f>SUM(#REF!)</f>
        <v>#REF!</v>
      </c>
      <c r="G31" s="548" t="e">
        <f>SUM(#REF!)</f>
        <v>#REF!</v>
      </c>
      <c r="H31" s="548" t="e">
        <f>SUM(#REF!)</f>
        <v>#REF!</v>
      </c>
      <c r="I31" s="548" t="e">
        <f>SUM(#REF!)</f>
        <v>#REF!</v>
      </c>
      <c r="J31" s="548" t="e">
        <f>SUM(#REF!)</f>
        <v>#REF!</v>
      </c>
      <c r="K31" s="548" t="e">
        <f>SUM(#REF!)</f>
        <v>#REF!</v>
      </c>
      <c r="L31" s="37" t="e">
        <f>SUM(#REF!)</f>
        <v>#REF!</v>
      </c>
      <c r="N31" s="7"/>
      <c r="O31" s="140" t="e">
        <f>#REF!</f>
        <v>#REF!</v>
      </c>
      <c r="P31" s="7"/>
      <c r="R31" s="351"/>
    </row>
    <row r="32" spans="1:18" hidden="1" x14ac:dyDescent="0.25">
      <c r="A32" s="74">
        <v>9257011</v>
      </c>
      <c r="B32" t="str">
        <f>CONCATENATE(A32,C32)</f>
        <v>92570112023/24</v>
      </c>
      <c r="C32" s="101" t="s">
        <v>312</v>
      </c>
      <c r="D32" t="str">
        <f>CONCATENATE(A32,C32)</f>
        <v>92570112023/24</v>
      </c>
      <c r="E32" s="37" t="e">
        <f>VLOOKUP(A32,'2223 Funding Detail'!$A$4:$M$20,13,(FALSE))</f>
        <v>#N/A</v>
      </c>
      <c r="F32" s="549" t="e">
        <f>$E$32*'2223 Band Calculations'!#REF!</f>
        <v>#N/A</v>
      </c>
      <c r="G32" s="549" t="e">
        <f>$E$32*'2223 Band Calculations'!#REF!</f>
        <v>#N/A</v>
      </c>
      <c r="H32" s="549" t="e">
        <f>$E$32*'2223 Band Calculations'!#REF!</f>
        <v>#N/A</v>
      </c>
      <c r="I32" s="549" t="e">
        <f>$E$32*'2223 Band Calculations'!#REF!</f>
        <v>#N/A</v>
      </c>
      <c r="J32" s="549" t="e">
        <f>$E$32*'2223 Band Calculations'!#REF!</f>
        <v>#N/A</v>
      </c>
      <c r="K32" s="549" t="e">
        <f>$E$32*'2223 Band Calculations'!#REF!</f>
        <v>#N/A</v>
      </c>
      <c r="L32" s="169" t="e">
        <f>$E$32*'2223 Band Calculations'!#REF!</f>
        <v>#N/A</v>
      </c>
      <c r="N32" s="7"/>
      <c r="O32" s="7"/>
      <c r="P32" s="7"/>
      <c r="R32" s="351"/>
    </row>
    <row r="33" spans="1:18" hidden="1" x14ac:dyDescent="0.25">
      <c r="A33" s="74">
        <v>9257011</v>
      </c>
      <c r="B33" t="str">
        <f t="shared" ref="B33:B36" si="15">CONCATENATE(A33,C33)</f>
        <v>9257011</v>
      </c>
      <c r="F33" s="170" t="e">
        <f t="shared" ref="F33:K33" si="16">F32-F31</f>
        <v>#N/A</v>
      </c>
      <c r="G33" s="170" t="e">
        <f t="shared" si="16"/>
        <v>#N/A</v>
      </c>
      <c r="H33" s="170" t="e">
        <f t="shared" si="16"/>
        <v>#N/A</v>
      </c>
      <c r="I33" s="170" t="e">
        <f t="shared" si="16"/>
        <v>#N/A</v>
      </c>
      <c r="J33" s="170" t="e">
        <f t="shared" si="16"/>
        <v>#N/A</v>
      </c>
      <c r="K33" s="170" t="e">
        <f t="shared" si="16"/>
        <v>#N/A</v>
      </c>
      <c r="L33" s="169"/>
      <c r="N33" s="7"/>
      <c r="O33" s="7"/>
      <c r="P33" s="7"/>
      <c r="R33" s="351"/>
    </row>
    <row r="34" spans="1:18" hidden="1" x14ac:dyDescent="0.25">
      <c r="A34" s="74">
        <v>9257011</v>
      </c>
      <c r="B34" t="str">
        <f t="shared" si="15"/>
        <v>9257011a</v>
      </c>
      <c r="C34" s="101" t="s">
        <v>349</v>
      </c>
      <c r="D34" s="101" t="s">
        <v>346</v>
      </c>
      <c r="F34" s="549" t="e">
        <f t="shared" ref="F34:K34" si="17">IF(F31&gt;F32,(F32),(F31))</f>
        <v>#REF!</v>
      </c>
      <c r="G34" s="549" t="e">
        <f t="shared" si="17"/>
        <v>#REF!</v>
      </c>
      <c r="H34" s="549" t="e">
        <f t="shared" si="17"/>
        <v>#REF!</v>
      </c>
      <c r="I34" s="549" t="e">
        <f t="shared" si="17"/>
        <v>#REF!</v>
      </c>
      <c r="J34" s="549" t="e">
        <f t="shared" si="17"/>
        <v>#REF!</v>
      </c>
      <c r="K34" s="549" t="e">
        <f t="shared" si="17"/>
        <v>#REF!</v>
      </c>
      <c r="L34" s="37"/>
      <c r="M34" s="7"/>
      <c r="N34" s="7"/>
      <c r="O34" s="7"/>
      <c r="P34" s="7"/>
      <c r="R34" s="351"/>
    </row>
    <row r="35" spans="1:18" hidden="1" x14ac:dyDescent="0.25">
      <c r="A35" s="74"/>
      <c r="B35" s="101" t="s">
        <v>362</v>
      </c>
      <c r="C35" s="101" t="s">
        <v>305</v>
      </c>
      <c r="D35" s="101" t="s">
        <v>351</v>
      </c>
      <c r="F35" s="140" t="e">
        <f>SUM(#REF!)</f>
        <v>#REF!</v>
      </c>
      <c r="G35" s="140" t="e">
        <f>SUM(#REF!)</f>
        <v>#REF!</v>
      </c>
      <c r="H35" s="140" t="e">
        <f>SUM(#REF!)</f>
        <v>#REF!</v>
      </c>
      <c r="I35" s="140" t="e">
        <f>SUM(#REF!)</f>
        <v>#REF!</v>
      </c>
      <c r="J35" s="140" t="e">
        <f>SUM(#REF!)</f>
        <v>#REF!</v>
      </c>
      <c r="K35" s="140" t="e">
        <f>SUM(#REF!)</f>
        <v>#REF!</v>
      </c>
      <c r="L35" s="37"/>
      <c r="M35" s="7"/>
      <c r="N35" s="7"/>
      <c r="O35" s="7"/>
      <c r="P35" s="7"/>
      <c r="R35" s="351"/>
    </row>
    <row r="36" spans="1:18" hidden="1" x14ac:dyDescent="0.25">
      <c r="A36" s="74">
        <v>9257011</v>
      </c>
      <c r="B36" t="str">
        <f t="shared" si="15"/>
        <v>9257011b</v>
      </c>
      <c r="C36" s="101" t="s">
        <v>353</v>
      </c>
      <c r="D36" s="101" t="s">
        <v>354</v>
      </c>
      <c r="F36" s="550" t="e">
        <f>'2223 Band Values'!$BN$11</f>
        <v>#REF!</v>
      </c>
      <c r="G36" s="550" t="e">
        <f>'2223 Band Values'!$BN$8</f>
        <v>#REF!</v>
      </c>
      <c r="H36" s="550" t="e">
        <f>'2223 Band Values'!$BN$28</f>
        <v>#REF!</v>
      </c>
      <c r="I36" s="550" t="e">
        <f>'2223 Band Values'!$BN$5</f>
        <v>#REF!</v>
      </c>
      <c r="J36" s="550" t="e">
        <f>'2223 Band Values'!$BN$14</f>
        <v>#REF!</v>
      </c>
      <c r="K36" s="550" t="e">
        <f>'2223 Band Values'!$BN$22</f>
        <v>#REF!</v>
      </c>
      <c r="L36" s="37"/>
      <c r="M36" s="7"/>
      <c r="R36" s="351"/>
    </row>
    <row r="37" spans="1:18" hidden="1" x14ac:dyDescent="0.25">
      <c r="A37" s="74"/>
      <c r="B37" t="s">
        <v>363</v>
      </c>
      <c r="C37" s="101" t="s">
        <v>312</v>
      </c>
      <c r="D37" s="101" t="s">
        <v>351</v>
      </c>
      <c r="F37" s="550" t="e">
        <f>IF(F35-F36&gt;0,(F35-F36),(0))</f>
        <v>#REF!</v>
      </c>
      <c r="G37" s="550" t="e">
        <f t="shared" ref="G37:K37" si="18">IF(G35-G36&gt;0,(G35-G36),(0))</f>
        <v>#REF!</v>
      </c>
      <c r="H37" s="550" t="e">
        <f t="shared" si="18"/>
        <v>#REF!</v>
      </c>
      <c r="I37" s="550" t="e">
        <f t="shared" si="18"/>
        <v>#REF!</v>
      </c>
      <c r="J37" s="550" t="e">
        <f t="shared" si="18"/>
        <v>#REF!</v>
      </c>
      <c r="K37" s="550" t="e">
        <f t="shared" si="18"/>
        <v>#REF!</v>
      </c>
      <c r="L37" s="37"/>
      <c r="M37" s="7"/>
      <c r="R37" s="351"/>
    </row>
    <row r="38" spans="1:18" hidden="1" x14ac:dyDescent="0.25">
      <c r="A38" s="74">
        <v>9257011</v>
      </c>
      <c r="B38" t="str">
        <f>CONCATENATE(A38,C38)</f>
        <v>9257011c</v>
      </c>
      <c r="C38" s="101" t="s">
        <v>357</v>
      </c>
      <c r="D38" s="101" t="s">
        <v>217</v>
      </c>
      <c r="F38" s="7" t="e">
        <f>IF(F37&lt;0,0,(F37*F34))</f>
        <v>#REF!</v>
      </c>
      <c r="G38" s="7" t="e">
        <f t="shared" ref="G38:K38" si="19">IF(G37&lt;0,0,(G37*G34))</f>
        <v>#REF!</v>
      </c>
      <c r="H38" s="7" t="e">
        <f t="shared" si="19"/>
        <v>#REF!</v>
      </c>
      <c r="I38" s="7" t="e">
        <f t="shared" si="19"/>
        <v>#REF!</v>
      </c>
      <c r="J38" s="7" t="e">
        <f t="shared" si="19"/>
        <v>#REF!</v>
      </c>
      <c r="K38" s="7" t="e">
        <f t="shared" si="19"/>
        <v>#REF!</v>
      </c>
      <c r="L38" s="141" t="e">
        <f>SUM(F38:K38)</f>
        <v>#REF!</v>
      </c>
      <c r="M38" s="140" t="e">
        <f>L38-O31</f>
        <v>#REF!</v>
      </c>
      <c r="R38" s="351"/>
    </row>
    <row r="39" spans="1:18" x14ac:dyDescent="0.25">
      <c r="A39" s="171"/>
      <c r="B39" s="171" t="s">
        <v>66</v>
      </c>
      <c r="C39" s="171"/>
      <c r="D39" s="171"/>
      <c r="E39" s="172"/>
      <c r="F39" s="173"/>
      <c r="G39" s="173"/>
      <c r="H39" s="173"/>
      <c r="I39" s="173"/>
      <c r="J39" s="173"/>
      <c r="K39" s="173"/>
      <c r="L39" s="173"/>
      <c r="M39" s="173"/>
      <c r="N39" s="172"/>
      <c r="O39" s="172"/>
      <c r="P39" s="172"/>
      <c r="Q39" s="172"/>
    </row>
    <row r="40" spans="1:18" x14ac:dyDescent="0.25">
      <c r="A40" s="74">
        <v>9257024</v>
      </c>
      <c r="B40" t="str">
        <f>CONCATENATE(A40,C40)</f>
        <v>92570242023/24</v>
      </c>
      <c r="C40" s="672" t="s">
        <v>312</v>
      </c>
      <c r="D40" s="101" t="s">
        <v>346</v>
      </c>
      <c r="E40" s="37">
        <f>SUM(F40:K40)</f>
        <v>39.786585365853661</v>
      </c>
      <c r="F40" s="670">
        <f>'2324 MFG Protection'!F51</f>
        <v>6.166666666666667</v>
      </c>
      <c r="G40" s="670">
        <f>'2324 MFG Protection'!G51</f>
        <v>33.619918699186996</v>
      </c>
      <c r="H40" s="670">
        <f>'2324 MFG Protection'!H51</f>
        <v>0</v>
      </c>
      <c r="I40" s="670">
        <f>'2324 MFG Protection'!I51</f>
        <v>0</v>
      </c>
      <c r="J40" s="670">
        <f>'2324 MFG Protection'!J51</f>
        <v>0</v>
      </c>
      <c r="K40" s="670">
        <f>'2324 MFG Protection'!K51</f>
        <v>0</v>
      </c>
      <c r="L40" s="37"/>
      <c r="N40" s="7"/>
      <c r="O40" s="140">
        <f>'2324 MFG Protection'!L50</f>
        <v>8844.6388169908823</v>
      </c>
      <c r="R40" s="351"/>
    </row>
    <row r="41" spans="1:18" x14ac:dyDescent="0.25">
      <c r="A41" s="74">
        <v>9257024</v>
      </c>
      <c r="B41" t="str">
        <f>CONCATENATE(A41,C41)</f>
        <v>92570242024/25</v>
      </c>
      <c r="C41" s="101" t="s">
        <v>890</v>
      </c>
      <c r="D41" t="str">
        <f>CONCATENATE(A41,C41)</f>
        <v>92570242024/25</v>
      </c>
      <c r="E41" s="37">
        <f>VLOOKUP(A41,'2425 Funding Detail'!$A$4:$M$20,12,(FALSE))</f>
        <v>98.416666666666657</v>
      </c>
      <c r="F41" s="555">
        <f>$E$41*'2425 Band Calculations'!D9</f>
        <v>10.359649122807015</v>
      </c>
      <c r="G41" s="555">
        <f>$E$41*'2425 Band Calculations'!E9</f>
        <v>55.942105263157892</v>
      </c>
      <c r="H41" s="555">
        <f>$E$41*'2425 Band Calculations'!F9</f>
        <v>2.0719298245614031</v>
      </c>
      <c r="I41" s="555">
        <f>$E$41*'2425 Band Calculations'!G9</f>
        <v>14.503508771929821</v>
      </c>
      <c r="J41" s="555">
        <f>$E$41*'2425 Band Calculations'!H9</f>
        <v>6.2157894736842101</v>
      </c>
      <c r="K41" s="555">
        <f>$E$41*'2425 Band Calculations'!I9</f>
        <v>4.1438596491228061</v>
      </c>
      <c r="L41" s="177">
        <f>$E$41*'2425 Band Calculations'!J9</f>
        <v>5.1798245614035077</v>
      </c>
      <c r="N41" s="7"/>
      <c r="R41" s="351"/>
    </row>
    <row r="42" spans="1:18" x14ac:dyDescent="0.25">
      <c r="A42" s="74">
        <v>9257024</v>
      </c>
      <c r="B42" t="str">
        <f t="shared" ref="B42:B45" si="20">CONCATENATE(A42,C42)</f>
        <v>9257024</v>
      </c>
      <c r="F42" s="170">
        <f>F41-F40</f>
        <v>4.1929824561403484</v>
      </c>
      <c r="G42" s="170">
        <f t="shared" ref="G42:K42" si="21">G41-G40</f>
        <v>22.322186563970895</v>
      </c>
      <c r="H42" s="170">
        <f t="shared" si="21"/>
        <v>2.0719298245614031</v>
      </c>
      <c r="I42" s="170">
        <f t="shared" si="21"/>
        <v>14.503508771929821</v>
      </c>
      <c r="J42" s="170">
        <f t="shared" si="21"/>
        <v>6.2157894736842101</v>
      </c>
      <c r="K42" s="170">
        <f t="shared" si="21"/>
        <v>4.1438596491228061</v>
      </c>
      <c r="R42" s="351"/>
    </row>
    <row r="43" spans="1:18" x14ac:dyDescent="0.25">
      <c r="A43" s="74">
        <v>9257024</v>
      </c>
      <c r="B43" t="str">
        <f t="shared" si="20"/>
        <v>9257024a</v>
      </c>
      <c r="C43" s="101" t="s">
        <v>349</v>
      </c>
      <c r="D43" s="101" t="s">
        <v>346</v>
      </c>
      <c r="F43" s="549">
        <f t="shared" ref="F43:K43" si="22">IF(F40&gt;F41,(F41),(F40))</f>
        <v>6.166666666666667</v>
      </c>
      <c r="G43" s="549">
        <f t="shared" si="22"/>
        <v>33.619918699186996</v>
      </c>
      <c r="H43" s="549">
        <f t="shared" si="22"/>
        <v>0</v>
      </c>
      <c r="I43" s="549">
        <f t="shared" si="22"/>
        <v>0</v>
      </c>
      <c r="J43" s="549">
        <f t="shared" si="22"/>
        <v>0</v>
      </c>
      <c r="K43" s="549">
        <f t="shared" si="22"/>
        <v>0</v>
      </c>
      <c r="L43" s="37"/>
      <c r="M43" s="7"/>
      <c r="O43" s="7"/>
      <c r="P43" s="7"/>
      <c r="R43" s="351"/>
    </row>
    <row r="44" spans="1:18" x14ac:dyDescent="0.25">
      <c r="A44" s="74"/>
      <c r="B44" t="s">
        <v>364</v>
      </c>
      <c r="C44" s="101" t="s">
        <v>312</v>
      </c>
      <c r="D44" s="101" t="s">
        <v>351</v>
      </c>
      <c r="F44" s="671">
        <f>'2324 MFG Protection'!F49</f>
        <v>257.57740602179041</v>
      </c>
      <c r="G44" s="671">
        <f>'2324 MFG Protection'!G49</f>
        <v>215.83171803938103</v>
      </c>
      <c r="H44" s="671">
        <f>'2324 MFG Protection'!H49</f>
        <v>0</v>
      </c>
      <c r="I44" s="671">
        <f>'2324 MFG Protection'!I49</f>
        <v>0</v>
      </c>
      <c r="J44" s="671">
        <f>'2324 MFG Protection'!J49</f>
        <v>0</v>
      </c>
      <c r="K44" s="671">
        <f>'2324 MFG Protection'!K49</f>
        <v>0</v>
      </c>
      <c r="L44" s="37"/>
      <c r="M44" s="7"/>
      <c r="O44" s="7"/>
      <c r="P44" s="7"/>
      <c r="R44" s="351"/>
    </row>
    <row r="45" spans="1:18" x14ac:dyDescent="0.25">
      <c r="A45" s="74">
        <v>9257024</v>
      </c>
      <c r="B45" t="str">
        <f t="shared" si="20"/>
        <v>9257024b</v>
      </c>
      <c r="C45" s="101" t="s">
        <v>353</v>
      </c>
      <c r="D45" s="101" t="s">
        <v>354</v>
      </c>
      <c r="F45" s="671">
        <v>103</v>
      </c>
      <c r="G45" s="671">
        <v>102</v>
      </c>
      <c r="H45" s="671">
        <v>468</v>
      </c>
      <c r="I45" s="671">
        <v>500</v>
      </c>
      <c r="J45" s="671">
        <v>500</v>
      </c>
      <c r="K45" s="671">
        <v>363</v>
      </c>
      <c r="L45" s="37"/>
      <c r="M45" s="7"/>
      <c r="R45" s="351"/>
    </row>
    <row r="46" spans="1:18" x14ac:dyDescent="0.25">
      <c r="A46" s="74"/>
      <c r="B46" t="s">
        <v>365</v>
      </c>
      <c r="C46" s="101" t="s">
        <v>890</v>
      </c>
      <c r="D46" s="101" t="s">
        <v>351</v>
      </c>
      <c r="F46" s="550">
        <f>IF(F44-F45&gt;0,(F44-F45),(0))</f>
        <v>154.57740602179041</v>
      </c>
      <c r="G46" s="550">
        <f t="shared" ref="G46:K46" si="23">IF(G44-G45&gt;0,(G44-G45),(0))</f>
        <v>113.83171803938103</v>
      </c>
      <c r="H46" s="550">
        <f t="shared" si="23"/>
        <v>0</v>
      </c>
      <c r="I46" s="550">
        <f t="shared" si="23"/>
        <v>0</v>
      </c>
      <c r="J46" s="550">
        <f t="shared" si="23"/>
        <v>0</v>
      </c>
      <c r="K46" s="550">
        <f t="shared" si="23"/>
        <v>0</v>
      </c>
      <c r="L46" s="37"/>
      <c r="M46" s="7"/>
      <c r="R46" s="351"/>
    </row>
    <row r="47" spans="1:18" x14ac:dyDescent="0.25">
      <c r="A47" s="74">
        <v>9257024</v>
      </c>
      <c r="B47" t="str">
        <f>CONCATENATE(A47,C47)</f>
        <v>9257024c</v>
      </c>
      <c r="C47" s="101" t="s">
        <v>357</v>
      </c>
      <c r="D47" s="101" t="s">
        <v>217</v>
      </c>
      <c r="F47" s="7">
        <f>IF(F46&lt;0,0,(F46*F43))</f>
        <v>953.22733713437424</v>
      </c>
      <c r="G47" s="7">
        <f t="shared" ref="G47:K47" si="24">IF(G46&lt;0,0,(G46*G43))</f>
        <v>3827.0131058727679</v>
      </c>
      <c r="H47" s="7">
        <f t="shared" si="24"/>
        <v>0</v>
      </c>
      <c r="I47" s="7">
        <f t="shared" si="24"/>
        <v>0</v>
      </c>
      <c r="J47" s="7">
        <f t="shared" si="24"/>
        <v>0</v>
      </c>
      <c r="K47" s="7">
        <f t="shared" si="24"/>
        <v>0</v>
      </c>
      <c r="L47" s="141">
        <f>SUM(F47:K47)</f>
        <v>4780.2404430071419</v>
      </c>
      <c r="M47" s="140">
        <f>L47-O40</f>
        <v>-4064.3983739837404</v>
      </c>
      <c r="R47" s="351"/>
    </row>
    <row r="48" spans="1:18" x14ac:dyDescent="0.25">
      <c r="A48" s="171"/>
      <c r="B48" s="171" t="s">
        <v>84</v>
      </c>
      <c r="C48" s="171"/>
      <c r="D48" s="171"/>
      <c r="E48" s="172"/>
      <c r="F48" s="173"/>
      <c r="G48" s="173"/>
      <c r="H48" s="173"/>
      <c r="I48" s="173"/>
      <c r="J48" s="173"/>
      <c r="K48" s="173"/>
      <c r="L48" s="173"/>
      <c r="M48" s="173"/>
      <c r="N48" s="172"/>
      <c r="O48" s="172"/>
      <c r="P48" s="172"/>
      <c r="Q48" s="172"/>
    </row>
    <row r="49" spans="1:18" x14ac:dyDescent="0.25">
      <c r="A49" s="74">
        <v>9257031</v>
      </c>
      <c r="B49" t="str">
        <f>CONCATENATE(A49,C49)</f>
        <v>92570312023/24</v>
      </c>
      <c r="C49" s="672" t="s">
        <v>312</v>
      </c>
      <c r="D49" s="101" t="s">
        <v>346</v>
      </c>
      <c r="E49" s="37">
        <f>SUM(F49:K49)</f>
        <v>0</v>
      </c>
      <c r="F49" s="670">
        <f>'2324 MFG Protection'!F61</f>
        <v>0</v>
      </c>
      <c r="G49" s="670">
        <f>'2324 MFG Protection'!G61</f>
        <v>0</v>
      </c>
      <c r="H49" s="670">
        <f>'2324 MFG Protection'!H61</f>
        <v>0</v>
      </c>
      <c r="I49" s="670">
        <f>'2324 MFG Protection'!I61</f>
        <v>0</v>
      </c>
      <c r="J49" s="670">
        <f>'2324 MFG Protection'!J61</f>
        <v>0</v>
      </c>
      <c r="K49" s="670">
        <f>'2324 MFG Protection'!K61</f>
        <v>0</v>
      </c>
      <c r="L49" s="37"/>
      <c r="N49" s="7"/>
      <c r="O49" s="140">
        <f>'2324 MFG Protection'!L60</f>
        <v>0</v>
      </c>
      <c r="R49" s="351"/>
    </row>
    <row r="50" spans="1:18" x14ac:dyDescent="0.25">
      <c r="A50" s="74">
        <v>9257031</v>
      </c>
      <c r="B50" t="str">
        <f>CONCATENATE(A50,C50)</f>
        <v>92570312024/25</v>
      </c>
      <c r="C50" s="101" t="s">
        <v>890</v>
      </c>
      <c r="D50" t="str">
        <f>CONCATENATE(A50,C50)</f>
        <v>92570312024/25</v>
      </c>
      <c r="E50" s="37">
        <f>VLOOKUP(A50,'2425 Funding Detail'!$A$4:$M$20,12,(FALSE))</f>
        <v>80.416666666666671</v>
      </c>
      <c r="F50" s="549">
        <f>$E$50*'2425 Band Calculations'!D31</f>
        <v>0</v>
      </c>
      <c r="G50" s="549">
        <f>$E$50*'2425 Band Calculations'!E31</f>
        <v>0</v>
      </c>
      <c r="H50" s="549">
        <f>$E$50*'2425 Band Calculations'!F31</f>
        <v>80.416666666666671</v>
      </c>
      <c r="I50" s="549">
        <f>$E$50*'2425 Band Calculations'!G31</f>
        <v>0</v>
      </c>
      <c r="J50" s="549">
        <f>$E$50*'2425 Band Calculations'!H31</f>
        <v>0</v>
      </c>
      <c r="K50" s="549">
        <f>$E$50*'2425 Band Calculations'!I31</f>
        <v>0</v>
      </c>
      <c r="L50" s="169">
        <f>$E$50*'2425 Band Calculations'!J31</f>
        <v>0</v>
      </c>
      <c r="N50" s="7"/>
      <c r="R50" s="351"/>
    </row>
    <row r="51" spans="1:18" x14ac:dyDescent="0.25">
      <c r="A51" s="74">
        <v>9257031</v>
      </c>
      <c r="B51" t="str">
        <f t="shared" ref="B51:B54" si="25">CONCATENATE(A51,C51)</f>
        <v>9257031</v>
      </c>
      <c r="F51" s="170">
        <f t="shared" ref="F51:K51" si="26">F50-F49</f>
        <v>0</v>
      </c>
      <c r="G51" s="170">
        <f t="shared" si="26"/>
        <v>0</v>
      </c>
      <c r="H51" s="170">
        <f t="shared" si="26"/>
        <v>80.416666666666671</v>
      </c>
      <c r="I51" s="170">
        <f t="shared" si="26"/>
        <v>0</v>
      </c>
      <c r="J51" s="170">
        <f t="shared" si="26"/>
        <v>0</v>
      </c>
      <c r="K51" s="170">
        <f t="shared" si="26"/>
        <v>0</v>
      </c>
      <c r="R51" s="351"/>
    </row>
    <row r="52" spans="1:18" x14ac:dyDescent="0.25">
      <c r="A52" s="74">
        <v>9257031</v>
      </c>
      <c r="B52" t="str">
        <f t="shared" si="25"/>
        <v>9257031a</v>
      </c>
      <c r="C52" s="101" t="s">
        <v>349</v>
      </c>
      <c r="D52" s="101" t="s">
        <v>346</v>
      </c>
      <c r="F52" s="549">
        <f t="shared" ref="F52:K52" si="27">IF(F49&gt;F50,(F50),(F49))</f>
        <v>0</v>
      </c>
      <c r="G52" s="549">
        <f t="shared" si="27"/>
        <v>0</v>
      </c>
      <c r="H52" s="549">
        <f t="shared" si="27"/>
        <v>0</v>
      </c>
      <c r="I52" s="549">
        <f t="shared" si="27"/>
        <v>0</v>
      </c>
      <c r="J52" s="549">
        <f t="shared" si="27"/>
        <v>0</v>
      </c>
      <c r="K52" s="549">
        <f t="shared" si="27"/>
        <v>0</v>
      </c>
      <c r="L52" s="37"/>
      <c r="M52" s="7"/>
      <c r="O52" s="7"/>
      <c r="P52" s="7"/>
      <c r="R52" s="351"/>
    </row>
    <row r="53" spans="1:18" x14ac:dyDescent="0.25">
      <c r="A53" s="74"/>
      <c r="B53" t="s">
        <v>366</v>
      </c>
      <c r="C53" s="101" t="s">
        <v>312</v>
      </c>
      <c r="D53" s="101" t="s">
        <v>351</v>
      </c>
      <c r="F53" s="671">
        <f>'2324 MFG Protection'!F59</f>
        <v>0</v>
      </c>
      <c r="G53" s="671">
        <f>'2324 MFG Protection'!G59</f>
        <v>0</v>
      </c>
      <c r="H53" s="671">
        <f>'2324 MFG Protection'!H59</f>
        <v>0</v>
      </c>
      <c r="I53" s="671">
        <f>'2324 MFG Protection'!I59</f>
        <v>0</v>
      </c>
      <c r="J53" s="671">
        <f>'2324 MFG Protection'!J59</f>
        <v>0</v>
      </c>
      <c r="K53" s="671">
        <f>'2324 MFG Protection'!K59</f>
        <v>0</v>
      </c>
      <c r="L53" s="37"/>
      <c r="M53" s="7"/>
      <c r="O53" s="7"/>
      <c r="P53" s="7"/>
      <c r="R53" s="351"/>
    </row>
    <row r="54" spans="1:18" x14ac:dyDescent="0.25">
      <c r="A54" s="74">
        <v>9257031</v>
      </c>
      <c r="B54" t="str">
        <f t="shared" si="25"/>
        <v>9257031b</v>
      </c>
      <c r="C54" s="101" t="s">
        <v>353</v>
      </c>
      <c r="D54" s="101" t="s">
        <v>354</v>
      </c>
      <c r="F54" s="671">
        <v>103</v>
      </c>
      <c r="G54" s="671">
        <v>102</v>
      </c>
      <c r="H54" s="671">
        <v>468</v>
      </c>
      <c r="I54" s="671">
        <v>500</v>
      </c>
      <c r="J54" s="671">
        <v>500</v>
      </c>
      <c r="K54" s="671">
        <v>363</v>
      </c>
      <c r="L54" s="37"/>
      <c r="M54" s="7"/>
      <c r="R54" s="351"/>
    </row>
    <row r="55" spans="1:18" x14ac:dyDescent="0.25">
      <c r="A55" s="74"/>
      <c r="B55" t="s">
        <v>367</v>
      </c>
      <c r="C55" s="101" t="s">
        <v>890</v>
      </c>
      <c r="D55" s="101" t="s">
        <v>351</v>
      </c>
      <c r="F55" s="550">
        <f>IF(F53-F54&gt;0,(F53-F54),(0))</f>
        <v>0</v>
      </c>
      <c r="G55" s="550">
        <f t="shared" ref="G55:K55" si="28">IF(G53-G54&gt;0,(G53-G54),(0))</f>
        <v>0</v>
      </c>
      <c r="H55" s="550">
        <f t="shared" si="28"/>
        <v>0</v>
      </c>
      <c r="I55" s="550">
        <f t="shared" si="28"/>
        <v>0</v>
      </c>
      <c r="J55" s="550">
        <f t="shared" si="28"/>
        <v>0</v>
      </c>
      <c r="K55" s="550">
        <f t="shared" si="28"/>
        <v>0</v>
      </c>
      <c r="L55" s="37"/>
      <c r="M55" s="7"/>
      <c r="R55" s="351"/>
    </row>
    <row r="56" spans="1:18" x14ac:dyDescent="0.25">
      <c r="A56" s="74">
        <v>9257031</v>
      </c>
      <c r="B56" t="str">
        <f>CONCATENATE(A56,C56)</f>
        <v>9257031c</v>
      </c>
      <c r="C56" s="101" t="s">
        <v>357</v>
      </c>
      <c r="D56" s="101" t="s">
        <v>217</v>
      </c>
      <c r="F56" s="7">
        <f>IF(F55&lt;0,0,(F55*F52))</f>
        <v>0</v>
      </c>
      <c r="G56" s="7">
        <f t="shared" ref="G56:K56" si="29">IF(G55&lt;0,0,(G55*G52))</f>
        <v>0</v>
      </c>
      <c r="H56" s="7">
        <f t="shared" si="29"/>
        <v>0</v>
      </c>
      <c r="I56" s="7">
        <f t="shared" si="29"/>
        <v>0</v>
      </c>
      <c r="J56" s="7">
        <f t="shared" si="29"/>
        <v>0</v>
      </c>
      <c r="K56" s="7">
        <f t="shared" si="29"/>
        <v>0</v>
      </c>
      <c r="L56" s="141">
        <f>SUM(F56:K56)</f>
        <v>0</v>
      </c>
      <c r="M56" s="140">
        <f>L56-O49</f>
        <v>0</v>
      </c>
      <c r="R56" s="351"/>
    </row>
    <row r="57" spans="1:18" x14ac:dyDescent="0.25">
      <c r="A57" s="171"/>
      <c r="B57" s="171" t="s">
        <v>74</v>
      </c>
      <c r="C57" s="171"/>
      <c r="D57" s="171"/>
      <c r="E57" s="172"/>
      <c r="F57" s="173"/>
      <c r="G57" s="173"/>
      <c r="H57" s="173"/>
      <c r="I57" s="173"/>
      <c r="J57" s="173"/>
      <c r="K57" s="173"/>
      <c r="L57" s="173"/>
      <c r="M57" s="173"/>
      <c r="N57" s="172"/>
      <c r="O57" s="172"/>
      <c r="P57" s="172"/>
      <c r="Q57" s="172"/>
    </row>
    <row r="58" spans="1:18" x14ac:dyDescent="0.25">
      <c r="A58" s="74">
        <v>9257033</v>
      </c>
      <c r="B58" t="str">
        <f>CONCATENATE(A58,C58)</f>
        <v>92570332023/24</v>
      </c>
      <c r="C58" s="672" t="s">
        <v>312</v>
      </c>
      <c r="D58" s="101" t="s">
        <v>346</v>
      </c>
      <c r="E58" s="37">
        <f>SUM(F58:K58)</f>
        <v>0</v>
      </c>
      <c r="F58" s="670">
        <f>'2324 MFG Protection'!F71</f>
        <v>0</v>
      </c>
      <c r="G58" s="670">
        <f>'2324 MFG Protection'!G71</f>
        <v>0</v>
      </c>
      <c r="H58" s="670">
        <f>'2324 MFG Protection'!H71</f>
        <v>0</v>
      </c>
      <c r="I58" s="670">
        <f>'2324 MFG Protection'!I71</f>
        <v>0</v>
      </c>
      <c r="J58" s="670">
        <f>'2324 MFG Protection'!J71</f>
        <v>0</v>
      </c>
      <c r="K58" s="670">
        <f>'2324 MFG Protection'!K71</f>
        <v>0</v>
      </c>
      <c r="L58" s="37"/>
      <c r="N58" s="7"/>
      <c r="O58" s="140">
        <f>'2324 MFG Protection'!L70</f>
        <v>0</v>
      </c>
      <c r="R58" s="351"/>
    </row>
    <row r="59" spans="1:18" x14ac:dyDescent="0.25">
      <c r="A59" s="74">
        <v>9257033</v>
      </c>
      <c r="B59" t="str">
        <f>CONCATENATE(A59,C59)</f>
        <v>92570332024/25</v>
      </c>
      <c r="C59" s="101" t="s">
        <v>890</v>
      </c>
      <c r="D59" t="str">
        <f>CONCATENATE(A59,C59)</f>
        <v>92570332024/25</v>
      </c>
      <c r="E59" s="37">
        <f>VLOOKUP(A59,'2425 Funding Detail'!$A$4:$M$20,12,(FALSE))</f>
        <v>115.58333333333334</v>
      </c>
      <c r="F59" s="549">
        <f>$E$59*'2425 Band Calculations'!D11</f>
        <v>14.320058997050149</v>
      </c>
      <c r="G59" s="549">
        <f>$E$59*'2425 Band Calculations'!E11</f>
        <v>78.760324483775818</v>
      </c>
      <c r="H59" s="549">
        <f>$E$59*'2425 Band Calculations'!F11</f>
        <v>2.0457227138643068</v>
      </c>
      <c r="I59" s="549">
        <f>$E$59*'2425 Band Calculations'!G11</f>
        <v>12.274336283185841</v>
      </c>
      <c r="J59" s="549">
        <f>$E$59*'2425 Band Calculations'!H11</f>
        <v>4.0914454277286136</v>
      </c>
      <c r="K59" s="549">
        <f>$E$59*'2425 Band Calculations'!I11</f>
        <v>1.0228613569321534</v>
      </c>
      <c r="L59" s="169">
        <f>$E$59*'2425 Band Calculations'!J11</f>
        <v>3.0685840707964602</v>
      </c>
      <c r="N59" s="7"/>
      <c r="R59" s="351"/>
    </row>
    <row r="60" spans="1:18" x14ac:dyDescent="0.25">
      <c r="A60" s="74">
        <v>9257033</v>
      </c>
      <c r="B60" t="str">
        <f t="shared" ref="B60:B63" si="30">CONCATENATE(A60,C60)</f>
        <v>9257033</v>
      </c>
      <c r="F60" s="170">
        <f t="shared" ref="F60:K60" si="31">F59-F58</f>
        <v>14.320058997050149</v>
      </c>
      <c r="G60" s="170">
        <f t="shared" si="31"/>
        <v>78.760324483775818</v>
      </c>
      <c r="H60" s="170">
        <f t="shared" si="31"/>
        <v>2.0457227138643068</v>
      </c>
      <c r="I60" s="170">
        <f t="shared" si="31"/>
        <v>12.274336283185841</v>
      </c>
      <c r="J60" s="170">
        <f t="shared" si="31"/>
        <v>4.0914454277286136</v>
      </c>
      <c r="K60" s="170">
        <f t="shared" si="31"/>
        <v>1.0228613569321534</v>
      </c>
      <c r="R60" s="351"/>
    </row>
    <row r="61" spans="1:18" x14ac:dyDescent="0.25">
      <c r="A61" s="74">
        <v>9257033</v>
      </c>
      <c r="B61" t="str">
        <f t="shared" si="30"/>
        <v>9257033a</v>
      </c>
      <c r="C61" s="101" t="s">
        <v>349</v>
      </c>
      <c r="D61" s="101" t="s">
        <v>346</v>
      </c>
      <c r="F61" s="549">
        <f t="shared" ref="F61:K61" si="32">IF(F58&gt;F59,(F59),(F58))</f>
        <v>0</v>
      </c>
      <c r="G61" s="549">
        <f t="shared" si="32"/>
        <v>0</v>
      </c>
      <c r="H61" s="549">
        <f t="shared" si="32"/>
        <v>0</v>
      </c>
      <c r="I61" s="549">
        <f t="shared" si="32"/>
        <v>0</v>
      </c>
      <c r="J61" s="549">
        <f t="shared" si="32"/>
        <v>0</v>
      </c>
      <c r="K61" s="549">
        <f t="shared" si="32"/>
        <v>0</v>
      </c>
      <c r="L61" s="37"/>
      <c r="M61" s="7"/>
      <c r="O61" s="7"/>
      <c r="P61" s="7"/>
      <c r="R61" s="351"/>
    </row>
    <row r="62" spans="1:18" x14ac:dyDescent="0.25">
      <c r="A62" s="74"/>
      <c r="B62" t="s">
        <v>368</v>
      </c>
      <c r="C62" s="101" t="s">
        <v>312</v>
      </c>
      <c r="D62" s="101" t="s">
        <v>351</v>
      </c>
      <c r="F62" s="664">
        <f>'2324 MFG Protection'!F69</f>
        <v>0</v>
      </c>
      <c r="G62" s="664">
        <f>'2324 MFG Protection'!G69</f>
        <v>0</v>
      </c>
      <c r="H62" s="664">
        <f>'2324 MFG Protection'!H69</f>
        <v>0</v>
      </c>
      <c r="I62" s="664">
        <f>'2324 MFG Protection'!I69</f>
        <v>0</v>
      </c>
      <c r="J62" s="664">
        <f>'2324 MFG Protection'!J69</f>
        <v>0</v>
      </c>
      <c r="K62" s="664">
        <f>'2324 MFG Protection'!K69</f>
        <v>0</v>
      </c>
      <c r="L62" s="37"/>
      <c r="M62" s="7"/>
      <c r="O62" s="7"/>
      <c r="P62" s="7"/>
      <c r="R62" s="351"/>
    </row>
    <row r="63" spans="1:18" x14ac:dyDescent="0.25">
      <c r="A63" s="74">
        <v>9257033</v>
      </c>
      <c r="B63" t="str">
        <f t="shared" si="30"/>
        <v>9257033b</v>
      </c>
      <c r="C63" s="101" t="s">
        <v>353</v>
      </c>
      <c r="D63" s="101" t="s">
        <v>354</v>
      </c>
      <c r="F63" s="671">
        <v>103</v>
      </c>
      <c r="G63" s="671">
        <v>102</v>
      </c>
      <c r="H63" s="671">
        <v>468</v>
      </c>
      <c r="I63" s="671">
        <v>500</v>
      </c>
      <c r="J63" s="671">
        <v>500</v>
      </c>
      <c r="K63" s="671">
        <v>363</v>
      </c>
      <c r="L63" s="37"/>
      <c r="M63" s="7"/>
      <c r="R63" s="351"/>
    </row>
    <row r="64" spans="1:18" x14ac:dyDescent="0.25">
      <c r="A64" s="74"/>
      <c r="B64" t="s">
        <v>369</v>
      </c>
      <c r="C64" s="101" t="s">
        <v>890</v>
      </c>
      <c r="D64" s="101" t="s">
        <v>351</v>
      </c>
      <c r="F64" s="550">
        <f>IF(F62-F63&gt;0,(F62-F63),(0))</f>
        <v>0</v>
      </c>
      <c r="G64" s="550">
        <f t="shared" ref="G64:K64" si="33">IF(G62-G63&gt;0,(G62-G63),(0))</f>
        <v>0</v>
      </c>
      <c r="H64" s="550">
        <f t="shared" si="33"/>
        <v>0</v>
      </c>
      <c r="I64" s="550">
        <f t="shared" si="33"/>
        <v>0</v>
      </c>
      <c r="J64" s="550">
        <f t="shared" si="33"/>
        <v>0</v>
      </c>
      <c r="K64" s="550">
        <f t="shared" si="33"/>
        <v>0</v>
      </c>
      <c r="L64" s="37"/>
      <c r="M64" s="7"/>
      <c r="R64" s="351"/>
    </row>
    <row r="65" spans="1:18" x14ac:dyDescent="0.25">
      <c r="A65" s="74">
        <v>9257033</v>
      </c>
      <c r="B65" t="str">
        <f>CONCATENATE(A65,C65)</f>
        <v>9257033c</v>
      </c>
      <c r="C65" s="101" t="s">
        <v>357</v>
      </c>
      <c r="D65" s="101" t="s">
        <v>217</v>
      </c>
      <c r="F65" s="7">
        <f>IF(F64&lt;0,0,(F64*F61))</f>
        <v>0</v>
      </c>
      <c r="G65" s="7">
        <f t="shared" ref="G65:K65" si="34">IF(G64&lt;0,0,(G64*G61))</f>
        <v>0</v>
      </c>
      <c r="H65" s="7">
        <f t="shared" si="34"/>
        <v>0</v>
      </c>
      <c r="I65" s="7">
        <f t="shared" si="34"/>
        <v>0</v>
      </c>
      <c r="J65" s="7">
        <f t="shared" si="34"/>
        <v>0</v>
      </c>
      <c r="K65" s="7">
        <f t="shared" si="34"/>
        <v>0</v>
      </c>
      <c r="L65" s="141">
        <f>SUM(F65:K65)</f>
        <v>0</v>
      </c>
      <c r="M65" s="140">
        <f>L65-O58</f>
        <v>0</v>
      </c>
      <c r="R65" s="351"/>
    </row>
    <row r="66" spans="1:18" x14ac:dyDescent="0.25">
      <c r="A66" s="171"/>
      <c r="B66" s="171" t="s">
        <v>67</v>
      </c>
      <c r="C66" s="171"/>
      <c r="D66" s="171"/>
      <c r="E66" s="172"/>
      <c r="F66" s="173"/>
      <c r="G66" s="173"/>
      <c r="H66" s="173"/>
      <c r="I66" s="173"/>
      <c r="J66" s="173"/>
      <c r="K66" s="173"/>
      <c r="L66" s="173"/>
      <c r="M66" s="173"/>
      <c r="N66" s="172"/>
      <c r="O66" s="172"/>
      <c r="P66" s="172"/>
      <c r="Q66" s="172"/>
    </row>
    <row r="67" spans="1:18" x14ac:dyDescent="0.25">
      <c r="A67" s="74">
        <v>9257008</v>
      </c>
      <c r="B67" t="str">
        <f>CONCATENATE(A67,C67)</f>
        <v>92570082023/24</v>
      </c>
      <c r="C67" s="672" t="s">
        <v>312</v>
      </c>
      <c r="D67" s="101" t="s">
        <v>346</v>
      </c>
      <c r="E67" s="37">
        <f>SUM(F67:K67)</f>
        <v>0</v>
      </c>
      <c r="F67" s="670">
        <f>'2324 MFG Protection'!F81</f>
        <v>0</v>
      </c>
      <c r="G67" s="670">
        <f>'2324 MFG Protection'!G81</f>
        <v>0</v>
      </c>
      <c r="H67" s="670">
        <f>'2324 MFG Protection'!H81</f>
        <v>0</v>
      </c>
      <c r="I67" s="670">
        <f>'2324 MFG Protection'!I81</f>
        <v>0</v>
      </c>
      <c r="J67" s="670">
        <f>'2324 MFG Protection'!J81</f>
        <v>0</v>
      </c>
      <c r="K67" s="670">
        <f>'2324 MFG Protection'!K81</f>
        <v>0</v>
      </c>
      <c r="L67" s="37"/>
      <c r="N67" s="7"/>
      <c r="O67" s="140">
        <f>'2324 MFG Protection'!L80</f>
        <v>0</v>
      </c>
      <c r="R67" s="351"/>
    </row>
    <row r="68" spans="1:18" x14ac:dyDescent="0.25">
      <c r="A68" s="74">
        <v>9257008</v>
      </c>
      <c r="B68" t="str">
        <f>CONCATENATE(A68,C68)</f>
        <v>92570082024/25</v>
      </c>
      <c r="C68" s="101" t="s">
        <v>890</v>
      </c>
      <c r="D68" t="str">
        <f>CONCATENATE(A68,C68)</f>
        <v>92570082024/25</v>
      </c>
      <c r="E68" s="37">
        <f>VLOOKUP(A68,'2425 Funding Detail'!$A$4:$M$20,12,(FALSE))</f>
        <v>101</v>
      </c>
      <c r="F68" s="549">
        <f>$E$68*'2425 Band Calculations'!D12</f>
        <v>9</v>
      </c>
      <c r="G68" s="549">
        <f>$E$68*'2425 Band Calculations'!E12</f>
        <v>65</v>
      </c>
      <c r="H68" s="549">
        <f>$E$68*'2425 Band Calculations'!F12</f>
        <v>5</v>
      </c>
      <c r="I68" s="549">
        <f>$E$68*'2425 Band Calculations'!G12</f>
        <v>14.000000000000002</v>
      </c>
      <c r="J68" s="549">
        <f>$E$68*'2425 Band Calculations'!H12</f>
        <v>0</v>
      </c>
      <c r="K68" s="549">
        <f>$E$68*'2425 Band Calculations'!I12</f>
        <v>8</v>
      </c>
      <c r="L68" s="169">
        <f>$E$68*'2425 Band Calculations'!J12</f>
        <v>0</v>
      </c>
      <c r="N68" s="7"/>
      <c r="R68" s="351"/>
    </row>
    <row r="69" spans="1:18" x14ac:dyDescent="0.25">
      <c r="A69" s="74">
        <v>9257008</v>
      </c>
      <c r="B69" t="str">
        <f t="shared" ref="B69:B72" si="35">CONCATENATE(A69,C69)</f>
        <v>9257008</v>
      </c>
      <c r="F69" s="170">
        <f t="shared" ref="F69:K69" si="36">F68-F67</f>
        <v>9</v>
      </c>
      <c r="G69" s="170">
        <f t="shared" si="36"/>
        <v>65</v>
      </c>
      <c r="H69" s="170">
        <f t="shared" si="36"/>
        <v>5</v>
      </c>
      <c r="I69" s="170">
        <f t="shared" si="36"/>
        <v>14.000000000000002</v>
      </c>
      <c r="J69" s="170">
        <f t="shared" si="36"/>
        <v>0</v>
      </c>
      <c r="K69" s="170">
        <f t="shared" si="36"/>
        <v>8</v>
      </c>
      <c r="R69" s="351"/>
    </row>
    <row r="70" spans="1:18" x14ac:dyDescent="0.25">
      <c r="A70" s="74">
        <v>9257008</v>
      </c>
      <c r="B70" t="str">
        <f t="shared" si="35"/>
        <v>9257008a</v>
      </c>
      <c r="C70" s="101" t="s">
        <v>349</v>
      </c>
      <c r="D70" s="101" t="s">
        <v>346</v>
      </c>
      <c r="F70" s="549">
        <f t="shared" ref="F70:K70" si="37">IF(F67&gt;F68,(F68),(F67))</f>
        <v>0</v>
      </c>
      <c r="G70" s="549">
        <f t="shared" si="37"/>
        <v>0</v>
      </c>
      <c r="H70" s="549">
        <f t="shared" si="37"/>
        <v>0</v>
      </c>
      <c r="I70" s="549">
        <f t="shared" si="37"/>
        <v>0</v>
      </c>
      <c r="J70" s="549">
        <f t="shared" si="37"/>
        <v>0</v>
      </c>
      <c r="K70" s="549">
        <f t="shared" si="37"/>
        <v>0</v>
      </c>
      <c r="L70" s="37"/>
      <c r="M70" s="7"/>
      <c r="O70" s="7"/>
      <c r="P70" s="7"/>
      <c r="R70" s="351"/>
    </row>
    <row r="71" spans="1:18" x14ac:dyDescent="0.25">
      <c r="A71" s="74"/>
      <c r="B71" t="s">
        <v>370</v>
      </c>
      <c r="C71" s="101" t="s">
        <v>312</v>
      </c>
      <c r="D71" s="101" t="s">
        <v>351</v>
      </c>
      <c r="F71" s="664">
        <f>'2324 MFG Protection'!F79</f>
        <v>0</v>
      </c>
      <c r="G71" s="664">
        <f>'2324 MFG Protection'!G79</f>
        <v>0</v>
      </c>
      <c r="H71" s="664">
        <f>'2324 MFG Protection'!H79</f>
        <v>0</v>
      </c>
      <c r="I71" s="664">
        <f>'2324 MFG Protection'!I79</f>
        <v>0</v>
      </c>
      <c r="J71" s="664">
        <f>'2324 MFG Protection'!J79</f>
        <v>0</v>
      </c>
      <c r="K71" s="664">
        <f>'2324 MFG Protection'!K79</f>
        <v>0</v>
      </c>
      <c r="L71" s="37"/>
      <c r="M71" s="7"/>
      <c r="O71" s="7"/>
      <c r="P71" s="7"/>
      <c r="R71" s="351"/>
    </row>
    <row r="72" spans="1:18" x14ac:dyDescent="0.25">
      <c r="A72" s="74">
        <v>9257008</v>
      </c>
      <c r="B72" t="str">
        <f t="shared" si="35"/>
        <v>9257008b</v>
      </c>
      <c r="C72" s="101" t="s">
        <v>353</v>
      </c>
      <c r="D72" s="101" t="s">
        <v>354</v>
      </c>
      <c r="F72" s="671">
        <v>103</v>
      </c>
      <c r="G72" s="671">
        <v>102</v>
      </c>
      <c r="H72" s="671">
        <v>468</v>
      </c>
      <c r="I72" s="671">
        <v>500</v>
      </c>
      <c r="J72" s="671">
        <v>500</v>
      </c>
      <c r="K72" s="671">
        <v>363</v>
      </c>
      <c r="L72" s="37"/>
      <c r="M72" s="7"/>
      <c r="R72" s="351"/>
    </row>
    <row r="73" spans="1:18" x14ac:dyDescent="0.25">
      <c r="A73" s="74"/>
      <c r="B73" t="s">
        <v>371</v>
      </c>
      <c r="C73" s="101" t="s">
        <v>890</v>
      </c>
      <c r="D73" s="101" t="s">
        <v>351</v>
      </c>
      <c r="F73" s="550">
        <f>IF(F71-F72&gt;0,(F71-F72),(0))</f>
        <v>0</v>
      </c>
      <c r="G73" s="550">
        <f t="shared" ref="G73:K73" si="38">IF(G71-G72&gt;0,(G71-G72),(0))</f>
        <v>0</v>
      </c>
      <c r="H73" s="550">
        <f t="shared" si="38"/>
        <v>0</v>
      </c>
      <c r="I73" s="550">
        <f t="shared" si="38"/>
        <v>0</v>
      </c>
      <c r="J73" s="550">
        <f t="shared" si="38"/>
        <v>0</v>
      </c>
      <c r="K73" s="550">
        <f t="shared" si="38"/>
        <v>0</v>
      </c>
      <c r="L73" s="37"/>
      <c r="M73" s="7"/>
      <c r="R73" s="351"/>
    </row>
    <row r="74" spans="1:18" x14ac:dyDescent="0.25">
      <c r="A74" s="74">
        <v>9257008</v>
      </c>
      <c r="B74" t="str">
        <f>CONCATENATE(A74,C74)</f>
        <v>9257008c</v>
      </c>
      <c r="C74" s="101" t="s">
        <v>357</v>
      </c>
      <c r="D74" s="101" t="s">
        <v>217</v>
      </c>
      <c r="F74" s="7">
        <f>IF(F73&lt;0,0,(F73*F70))</f>
        <v>0</v>
      </c>
      <c r="G74" s="7">
        <f t="shared" ref="G74:K74" si="39">IF(G73&lt;0,0,(G73*G70))</f>
        <v>0</v>
      </c>
      <c r="H74" s="7">
        <f t="shared" si="39"/>
        <v>0</v>
      </c>
      <c r="I74" s="7">
        <f t="shared" si="39"/>
        <v>0</v>
      </c>
      <c r="J74" s="7">
        <f t="shared" si="39"/>
        <v>0</v>
      </c>
      <c r="K74" s="7">
        <f t="shared" si="39"/>
        <v>0</v>
      </c>
      <c r="L74" s="141">
        <f>SUM(F74:K74)</f>
        <v>0</v>
      </c>
      <c r="M74" s="140">
        <f>L74-O67</f>
        <v>0</v>
      </c>
      <c r="R74" s="351"/>
    </row>
    <row r="75" spans="1:18" x14ac:dyDescent="0.25">
      <c r="A75" s="171"/>
      <c r="B75" s="171" t="s">
        <v>75</v>
      </c>
      <c r="C75" s="171"/>
      <c r="D75" s="171"/>
      <c r="E75" s="172"/>
      <c r="F75" s="173"/>
      <c r="G75" s="173"/>
      <c r="H75" s="173"/>
      <c r="I75" s="173"/>
      <c r="J75" s="173"/>
      <c r="K75" s="173"/>
      <c r="L75" s="173"/>
      <c r="M75" s="173"/>
      <c r="N75" s="172"/>
      <c r="O75" s="172"/>
      <c r="P75" s="172"/>
      <c r="Q75" s="172"/>
    </row>
    <row r="76" spans="1:18" x14ac:dyDescent="0.25">
      <c r="A76" s="74">
        <v>9257034</v>
      </c>
      <c r="B76" t="str">
        <f>CONCATENATE(A76,C76)</f>
        <v>92570342023/24</v>
      </c>
      <c r="C76" s="672" t="s">
        <v>312</v>
      </c>
      <c r="D76" s="101" t="s">
        <v>346</v>
      </c>
      <c r="E76" s="37">
        <f>SUM(F76:K76)</f>
        <v>91.462770061728406</v>
      </c>
      <c r="F76" s="673">
        <f>'2324 MFG Protection'!F91</f>
        <v>48.923363095238102</v>
      </c>
      <c r="G76" s="673">
        <f>'2324 MFG Protection'!G91</f>
        <v>31.227678571428569</v>
      </c>
      <c r="H76" s="673">
        <f>'2324 MFG Protection'!H91</f>
        <v>11.311728395061728</v>
      </c>
      <c r="I76" s="673">
        <f>'2324 MFG Protection'!I91</f>
        <v>0</v>
      </c>
      <c r="J76" s="673">
        <f>'2324 MFG Protection'!J91</f>
        <v>0</v>
      </c>
      <c r="K76" s="673">
        <f>'2324 MFG Protection'!K91</f>
        <v>0</v>
      </c>
      <c r="L76" s="169"/>
      <c r="N76" s="7"/>
      <c r="O76" s="140">
        <f>'2324 MFG Protection'!L90</f>
        <v>34011.53444176296</v>
      </c>
      <c r="R76" s="351"/>
    </row>
    <row r="77" spans="1:18" x14ac:dyDescent="0.25">
      <c r="A77" s="74">
        <v>9257034</v>
      </c>
      <c r="B77" t="str">
        <f>CONCATENATE(A77,C77)</f>
        <v>92570342024/25</v>
      </c>
      <c r="C77" s="101" t="s">
        <v>890</v>
      </c>
      <c r="D77" t="str">
        <f>CONCATENATE(A77,C77)</f>
        <v>92570342024/25</v>
      </c>
      <c r="E77" s="37">
        <f>VLOOKUP(A77,'2425 Funding Detail'!$A$4:$M$20,12,(FALSE))</f>
        <v>137.41666666666669</v>
      </c>
      <c r="F77" s="549">
        <f>$E$77*'2425 Band Calculations'!D13</f>
        <v>51.795512820512826</v>
      </c>
      <c r="G77" s="549">
        <f>$E$77*'2425 Band Calculations'!E13</f>
        <v>54.966666666666676</v>
      </c>
      <c r="H77" s="549">
        <f>$E$77*'2425 Band Calculations'!F13</f>
        <v>10.570512820512823</v>
      </c>
      <c r="I77" s="549">
        <f>$E$77*'2425 Band Calculations'!G13</f>
        <v>8.4564102564102583</v>
      </c>
      <c r="J77" s="549">
        <f>$E$77*'2425 Band Calculations'!H13</f>
        <v>2.1141025641025646</v>
      </c>
      <c r="K77" s="549">
        <f>$E$77*'2425 Band Calculations'!I13</f>
        <v>7.399358974358976</v>
      </c>
      <c r="L77" s="169">
        <f>$E$77*'2425 Band Calculations'!J13</f>
        <v>2.1141025641025646</v>
      </c>
      <c r="N77" s="7"/>
      <c r="R77" s="351"/>
    </row>
    <row r="78" spans="1:18" x14ac:dyDescent="0.25">
      <c r="A78" s="74">
        <v>9257034</v>
      </c>
      <c r="B78" t="str">
        <f t="shared" ref="B78:B81" si="40">CONCATENATE(A78,C78)</f>
        <v>9257034</v>
      </c>
      <c r="F78" s="170">
        <f t="shared" ref="F78:K78" si="41">F77-F76</f>
        <v>2.8721497252747241</v>
      </c>
      <c r="G78" s="170">
        <f t="shared" si="41"/>
        <v>23.738988095238106</v>
      </c>
      <c r="H78" s="170">
        <f t="shared" si="41"/>
        <v>-0.74121557454890485</v>
      </c>
      <c r="I78" s="170">
        <f t="shared" si="41"/>
        <v>8.4564102564102583</v>
      </c>
      <c r="J78" s="170">
        <f t="shared" si="41"/>
        <v>2.1141025641025646</v>
      </c>
      <c r="K78" s="170">
        <f t="shared" si="41"/>
        <v>7.399358974358976</v>
      </c>
      <c r="R78" s="351"/>
    </row>
    <row r="79" spans="1:18" x14ac:dyDescent="0.25">
      <c r="A79" s="74">
        <v>9257034</v>
      </c>
      <c r="B79" t="str">
        <f t="shared" si="40"/>
        <v>9257034a</v>
      </c>
      <c r="C79" s="101" t="s">
        <v>349</v>
      </c>
      <c r="D79" s="101" t="s">
        <v>346</v>
      </c>
      <c r="F79" s="549">
        <f t="shared" ref="F79:K79" si="42">IF(F76&gt;F77,(F77),(F76))</f>
        <v>48.923363095238102</v>
      </c>
      <c r="G79" s="549">
        <f t="shared" si="42"/>
        <v>31.227678571428569</v>
      </c>
      <c r="H79" s="549">
        <f t="shared" si="42"/>
        <v>10.570512820512823</v>
      </c>
      <c r="I79" s="549">
        <f t="shared" si="42"/>
        <v>0</v>
      </c>
      <c r="J79" s="549">
        <f t="shared" si="42"/>
        <v>0</v>
      </c>
      <c r="K79" s="549">
        <f t="shared" si="42"/>
        <v>0</v>
      </c>
      <c r="L79" s="37"/>
      <c r="M79" s="7"/>
      <c r="O79" s="7"/>
      <c r="P79" s="7"/>
      <c r="R79" s="351"/>
    </row>
    <row r="80" spans="1:18" x14ac:dyDescent="0.25">
      <c r="A80" s="74"/>
      <c r="B80" t="s">
        <v>372</v>
      </c>
      <c r="C80" s="101" t="s">
        <v>312</v>
      </c>
      <c r="D80" s="101" t="s">
        <v>351</v>
      </c>
      <c r="F80" s="664">
        <f>'2324 MFG Protection'!F89</f>
        <v>438.22319297605691</v>
      </c>
      <c r="G80" s="664">
        <f>'2324 MFG Protection'!G89</f>
        <v>396.47750499364747</v>
      </c>
      <c r="H80" s="664">
        <f>'2324 MFG Protection'!H89</f>
        <v>16.894851221903082</v>
      </c>
      <c r="I80" s="664">
        <f>'2324 MFG Protection'!I89</f>
        <v>0</v>
      </c>
      <c r="J80" s="664">
        <f>'2324 MFG Protection'!J89</f>
        <v>0</v>
      </c>
      <c r="K80" s="664">
        <f>'2324 MFG Protection'!K89</f>
        <v>0</v>
      </c>
      <c r="L80" s="37"/>
      <c r="M80" s="7"/>
      <c r="O80" s="7"/>
      <c r="P80" s="7"/>
      <c r="R80" s="351"/>
    </row>
    <row r="81" spans="1:18" x14ac:dyDescent="0.25">
      <c r="A81" s="74">
        <v>9257034</v>
      </c>
      <c r="B81" t="str">
        <f t="shared" si="40"/>
        <v>9257034b</v>
      </c>
      <c r="C81" s="101" t="s">
        <v>353</v>
      </c>
      <c r="D81" s="101" t="s">
        <v>354</v>
      </c>
      <c r="F81" s="671">
        <v>103</v>
      </c>
      <c r="G81" s="671">
        <v>102</v>
      </c>
      <c r="H81" s="671">
        <v>468</v>
      </c>
      <c r="I81" s="671">
        <v>500</v>
      </c>
      <c r="J81" s="671">
        <v>500</v>
      </c>
      <c r="K81" s="671">
        <v>363</v>
      </c>
      <c r="L81" s="37"/>
      <c r="M81" s="7"/>
      <c r="R81" s="351"/>
    </row>
    <row r="82" spans="1:18" x14ac:dyDescent="0.25">
      <c r="A82" s="74"/>
      <c r="B82" t="s">
        <v>373</v>
      </c>
      <c r="C82" s="101" t="s">
        <v>890</v>
      </c>
      <c r="D82" s="101" t="s">
        <v>351</v>
      </c>
      <c r="F82" s="550">
        <f>IF(F80-F81&gt;0,(F80-F81),(0))</f>
        <v>335.22319297605691</v>
      </c>
      <c r="G82" s="550">
        <f t="shared" ref="G82:K82" si="43">IF(G80-G81&gt;0,(G80-G81),(0))</f>
        <v>294.47750499364747</v>
      </c>
      <c r="H82" s="550">
        <f t="shared" si="43"/>
        <v>0</v>
      </c>
      <c r="I82" s="550">
        <f t="shared" si="43"/>
        <v>0</v>
      </c>
      <c r="J82" s="550">
        <f t="shared" si="43"/>
        <v>0</v>
      </c>
      <c r="K82" s="550">
        <f t="shared" si="43"/>
        <v>0</v>
      </c>
      <c r="L82" s="37"/>
      <c r="M82" s="7"/>
      <c r="R82" s="351"/>
    </row>
    <row r="83" spans="1:18" x14ac:dyDescent="0.25">
      <c r="A83" s="74">
        <v>9257034</v>
      </c>
      <c r="B83" t="str">
        <f>CONCATENATE(A83,C83)</f>
        <v>9257034c</v>
      </c>
      <c r="C83" s="101" t="s">
        <v>357</v>
      </c>
      <c r="D83" s="101" t="s">
        <v>217</v>
      </c>
      <c r="F83" s="7">
        <f t="shared" ref="F83:K83" si="44">IF(F82&lt;0,0,(F82*F79))</f>
        <v>16400.245987912702</v>
      </c>
      <c r="G83" s="7">
        <f t="shared" si="44"/>
        <v>9195.8488724578747</v>
      </c>
      <c r="H83" s="7">
        <f t="shared" si="44"/>
        <v>0</v>
      </c>
      <c r="I83" s="7">
        <f t="shared" si="44"/>
        <v>0</v>
      </c>
      <c r="J83" s="7">
        <f t="shared" si="44"/>
        <v>0</v>
      </c>
      <c r="K83" s="7">
        <f t="shared" si="44"/>
        <v>0</v>
      </c>
      <c r="L83" s="141">
        <f>SUM(F83:K83)</f>
        <v>25596.094860370576</v>
      </c>
      <c r="M83" s="140">
        <f>L83-O76</f>
        <v>-8415.4395813923838</v>
      </c>
      <c r="R83" s="351"/>
    </row>
    <row r="84" spans="1:18" x14ac:dyDescent="0.25">
      <c r="A84" s="171"/>
      <c r="B84" s="171" t="s">
        <v>68</v>
      </c>
      <c r="C84" s="171"/>
      <c r="D84" s="171"/>
      <c r="E84" s="172"/>
      <c r="F84" s="173"/>
      <c r="G84" s="173"/>
      <c r="H84" s="173"/>
      <c r="I84" s="173"/>
      <c r="J84" s="173"/>
      <c r="K84" s="173"/>
      <c r="L84" s="173"/>
      <c r="M84" s="173"/>
      <c r="N84" s="172"/>
      <c r="O84" s="172"/>
      <c r="P84" s="172"/>
      <c r="Q84" s="172"/>
    </row>
    <row r="85" spans="1:18" x14ac:dyDescent="0.25">
      <c r="A85" s="74">
        <v>9257002</v>
      </c>
      <c r="B85" t="str">
        <f>CONCATENATE(A85,C85)</f>
        <v>92570022023/24</v>
      </c>
      <c r="C85" s="672" t="s">
        <v>312</v>
      </c>
      <c r="D85" s="101" t="s">
        <v>346</v>
      </c>
      <c r="E85" s="37">
        <f>SUM(F85:K85)</f>
        <v>0</v>
      </c>
      <c r="F85" s="674">
        <f>'2324 MFG Protection'!F101</f>
        <v>0</v>
      </c>
      <c r="G85" s="674">
        <f>'2324 MFG Protection'!G101</f>
        <v>0</v>
      </c>
      <c r="H85" s="674">
        <f>'2324 MFG Protection'!H101</f>
        <v>0</v>
      </c>
      <c r="I85" s="674">
        <f>'2324 MFG Protection'!I101</f>
        <v>0</v>
      </c>
      <c r="J85" s="674">
        <f>'2324 MFG Protection'!J101</f>
        <v>0</v>
      </c>
      <c r="K85" s="674">
        <f>'2324 MFG Protection'!K101</f>
        <v>0</v>
      </c>
      <c r="L85" s="353"/>
      <c r="N85" s="7"/>
      <c r="O85" s="140">
        <f>'2324 MFG Protection'!L100</f>
        <v>0</v>
      </c>
      <c r="R85" s="351"/>
    </row>
    <row r="86" spans="1:18" x14ac:dyDescent="0.25">
      <c r="A86" s="74">
        <v>9257002</v>
      </c>
      <c r="B86" t="str">
        <f>CONCATENATE(A86,C86)</f>
        <v>92570022024/25</v>
      </c>
      <c r="C86" s="101" t="s">
        <v>890</v>
      </c>
      <c r="D86" t="str">
        <f>CONCATENATE(A86,C86)</f>
        <v>92570022024/25</v>
      </c>
      <c r="E86" s="37">
        <f>VLOOKUP(A86,'2425 Funding Detail'!$A$4:$M$20,12,(FALSE))</f>
        <v>175.41666666666669</v>
      </c>
      <c r="F86" s="549">
        <f>$E$86*'2425 Band Calculations'!D14</f>
        <v>26.987179487179493</v>
      </c>
      <c r="G86" s="549">
        <f>$E$86*'2425 Band Calculations'!E14</f>
        <v>94.455128205128204</v>
      </c>
      <c r="H86" s="549">
        <f>$E$86*'2425 Band Calculations'!F14</f>
        <v>22.489316239316238</v>
      </c>
      <c r="I86" s="549">
        <f>$E$86*'2425 Band Calculations'!G14</f>
        <v>8.9957264957264957</v>
      </c>
      <c r="J86" s="549">
        <f>$E$86*'2425 Band Calculations'!H14</f>
        <v>4.4978632478632479</v>
      </c>
      <c r="K86" s="549">
        <f>$E$86*'2425 Band Calculations'!I14</f>
        <v>15.74252136752137</v>
      </c>
      <c r="L86" s="169">
        <f>$E$86*'2425 Band Calculations'!J14</f>
        <v>2.2489316239316239</v>
      </c>
      <c r="N86" s="7"/>
      <c r="R86" s="351"/>
    </row>
    <row r="87" spans="1:18" x14ac:dyDescent="0.25">
      <c r="A87" s="74">
        <v>9257002</v>
      </c>
      <c r="B87" t="str">
        <f t="shared" ref="B87:B90" si="45">CONCATENATE(A87,C87)</f>
        <v>9257002</v>
      </c>
      <c r="F87" s="170">
        <f t="shared" ref="F87:K87" si="46">F86-F85</f>
        <v>26.987179487179493</v>
      </c>
      <c r="G87" s="170">
        <f t="shared" si="46"/>
        <v>94.455128205128204</v>
      </c>
      <c r="H87" s="170">
        <f t="shared" si="46"/>
        <v>22.489316239316238</v>
      </c>
      <c r="I87" s="170">
        <f>I86-I85</f>
        <v>8.9957264957264957</v>
      </c>
      <c r="J87" s="170">
        <f t="shared" si="46"/>
        <v>4.4978632478632479</v>
      </c>
      <c r="K87" s="170">
        <f t="shared" si="46"/>
        <v>15.74252136752137</v>
      </c>
      <c r="R87" s="351"/>
    </row>
    <row r="88" spans="1:18" x14ac:dyDescent="0.25">
      <c r="A88" s="74">
        <v>9257002</v>
      </c>
      <c r="B88" t="str">
        <f t="shared" si="45"/>
        <v>9257002a</v>
      </c>
      <c r="C88" s="101" t="s">
        <v>349</v>
      </c>
      <c r="D88" s="101" t="s">
        <v>346</v>
      </c>
      <c r="F88" s="549">
        <f t="shared" ref="F88:K88" si="47">IF(F85&gt;F86,(F86),(F85))</f>
        <v>0</v>
      </c>
      <c r="G88" s="549">
        <f t="shared" si="47"/>
        <v>0</v>
      </c>
      <c r="H88" s="549">
        <f t="shared" si="47"/>
        <v>0</v>
      </c>
      <c r="I88" s="549">
        <f t="shared" si="47"/>
        <v>0</v>
      </c>
      <c r="J88" s="549">
        <f t="shared" si="47"/>
        <v>0</v>
      </c>
      <c r="K88" s="549">
        <f t="shared" si="47"/>
        <v>0</v>
      </c>
      <c r="L88" s="37"/>
      <c r="M88" s="7"/>
      <c r="O88" s="7"/>
      <c r="P88" s="7"/>
      <c r="R88" s="351"/>
    </row>
    <row r="89" spans="1:18" x14ac:dyDescent="0.25">
      <c r="A89" s="74"/>
      <c r="B89" t="s">
        <v>374</v>
      </c>
      <c r="C89" s="101" t="s">
        <v>312</v>
      </c>
      <c r="D89" s="101" t="s">
        <v>351</v>
      </c>
      <c r="F89" s="664">
        <f>'2324 MFG Protection'!F99</f>
        <v>0</v>
      </c>
      <c r="G89" s="664">
        <f>'2324 MFG Protection'!G99</f>
        <v>0</v>
      </c>
      <c r="H89" s="664">
        <f>'2324 MFG Protection'!H99</f>
        <v>0</v>
      </c>
      <c r="I89" s="664">
        <f>'2324 MFG Protection'!I99</f>
        <v>0</v>
      </c>
      <c r="J89" s="664">
        <f>'2324 MFG Protection'!J99</f>
        <v>0</v>
      </c>
      <c r="K89" s="664">
        <f>'2324 MFG Protection'!K99</f>
        <v>0</v>
      </c>
      <c r="L89" s="37"/>
      <c r="M89" s="7"/>
      <c r="O89" s="7"/>
      <c r="P89" s="7"/>
      <c r="R89" s="351"/>
    </row>
    <row r="90" spans="1:18" x14ac:dyDescent="0.25">
      <c r="A90" s="74">
        <v>9257002</v>
      </c>
      <c r="B90" t="str">
        <f t="shared" si="45"/>
        <v>9257002b</v>
      </c>
      <c r="C90" s="101" t="s">
        <v>353</v>
      </c>
      <c r="D90" s="101" t="s">
        <v>354</v>
      </c>
      <c r="F90" s="671">
        <v>103</v>
      </c>
      <c r="G90" s="671">
        <v>102</v>
      </c>
      <c r="H90" s="671">
        <v>468</v>
      </c>
      <c r="I90" s="671">
        <v>500</v>
      </c>
      <c r="J90" s="671">
        <v>500</v>
      </c>
      <c r="K90" s="671">
        <v>363</v>
      </c>
      <c r="L90" s="37"/>
      <c r="M90" s="7"/>
      <c r="O90" s="7"/>
      <c r="P90" s="7"/>
      <c r="R90" s="351"/>
    </row>
    <row r="91" spans="1:18" x14ac:dyDescent="0.25">
      <c r="A91" s="74"/>
      <c r="B91" t="s">
        <v>375</v>
      </c>
      <c r="C91" s="101" t="s">
        <v>890</v>
      </c>
      <c r="D91" s="101" t="s">
        <v>351</v>
      </c>
      <c r="F91" s="550">
        <f>IF(F89-F90&gt;0,(F89-F90),(0))</f>
        <v>0</v>
      </c>
      <c r="G91" s="550">
        <f t="shared" ref="G91:K91" si="48">IF(G89-G90&gt;0,(G89-G90),(0))</f>
        <v>0</v>
      </c>
      <c r="H91" s="550">
        <f t="shared" si="48"/>
        <v>0</v>
      </c>
      <c r="I91" s="550">
        <f t="shared" si="48"/>
        <v>0</v>
      </c>
      <c r="J91" s="550">
        <f t="shared" si="48"/>
        <v>0</v>
      </c>
      <c r="K91" s="550">
        <f t="shared" si="48"/>
        <v>0</v>
      </c>
      <c r="L91" s="37"/>
      <c r="M91" s="7"/>
      <c r="O91" s="7"/>
      <c r="P91" s="7"/>
      <c r="R91" s="351"/>
    </row>
    <row r="92" spans="1:18" x14ac:dyDescent="0.25">
      <c r="A92" s="74">
        <v>9257002</v>
      </c>
      <c r="B92" t="str">
        <f>CONCATENATE(A92,C92)</f>
        <v>9257002c</v>
      </c>
      <c r="C92" s="101" t="s">
        <v>357</v>
      </c>
      <c r="D92" s="101" t="s">
        <v>217</v>
      </c>
      <c r="F92" s="7">
        <f t="shared" ref="F92:K92" si="49">IF(F91&lt;0,0,(F91*F88))</f>
        <v>0</v>
      </c>
      <c r="G92" s="7">
        <f t="shared" si="49"/>
        <v>0</v>
      </c>
      <c r="H92" s="7">
        <f t="shared" si="49"/>
        <v>0</v>
      </c>
      <c r="I92" s="7">
        <f t="shared" si="49"/>
        <v>0</v>
      </c>
      <c r="J92" s="7">
        <f t="shared" si="49"/>
        <v>0</v>
      </c>
      <c r="K92" s="7">
        <f t="shared" si="49"/>
        <v>0</v>
      </c>
      <c r="L92" s="141">
        <f>SUM(F92:K92)</f>
        <v>0</v>
      </c>
      <c r="M92" s="140">
        <f>L92-O85</f>
        <v>0</v>
      </c>
      <c r="O92" s="7"/>
      <c r="P92" s="7"/>
      <c r="R92" s="351"/>
    </row>
    <row r="93" spans="1:18" x14ac:dyDescent="0.25">
      <c r="A93" s="171"/>
      <c r="B93" s="171" t="s">
        <v>69</v>
      </c>
      <c r="C93" s="171"/>
      <c r="D93" s="171"/>
      <c r="E93" s="172"/>
      <c r="F93" s="173"/>
      <c r="G93" s="173"/>
      <c r="H93" s="173"/>
      <c r="I93" s="173"/>
      <c r="J93" s="173"/>
      <c r="K93" s="173"/>
      <c r="L93" s="173"/>
      <c r="M93" s="173"/>
      <c r="N93" s="172"/>
      <c r="O93" s="172"/>
      <c r="P93" s="172"/>
      <c r="Q93" s="172"/>
    </row>
    <row r="94" spans="1:18" x14ac:dyDescent="0.25">
      <c r="A94" s="341">
        <v>9257009</v>
      </c>
      <c r="B94" t="str">
        <f>CONCATENATE(A94,C94)</f>
        <v>92570092023/24</v>
      </c>
      <c r="C94" s="672" t="s">
        <v>312</v>
      </c>
      <c r="D94" s="101" t="s">
        <v>346</v>
      </c>
      <c r="E94" s="37">
        <f>SUM(F94:K94)</f>
        <v>91.207316132515729</v>
      </c>
      <c r="F94" s="670">
        <f>'2324 MFG Protection'!F111</f>
        <v>23.122739018087856</v>
      </c>
      <c r="G94" s="670">
        <f>'2324 MFG Protection'!G111</f>
        <v>68.084577114427873</v>
      </c>
      <c r="H94" s="670">
        <f>'2324 MFG Protection'!H111</f>
        <v>0</v>
      </c>
      <c r="I94" s="670">
        <f>'2324 MFG Protection'!I111</f>
        <v>0</v>
      </c>
      <c r="J94" s="670">
        <f>'2324 MFG Protection'!J111</f>
        <v>0</v>
      </c>
      <c r="K94" s="670">
        <f>'2324 MFG Protection'!K111</f>
        <v>0</v>
      </c>
      <c r="L94" s="37"/>
      <c r="M94" s="7"/>
      <c r="N94" s="7"/>
      <c r="O94" s="140">
        <f>'2324 MFG Protection'!L110</f>
        <v>34686.323739454252</v>
      </c>
      <c r="R94" s="351"/>
    </row>
    <row r="95" spans="1:18" x14ac:dyDescent="0.25">
      <c r="A95" s="341">
        <v>9257009</v>
      </c>
      <c r="B95" t="str">
        <f>CONCATENATE(A95,C95)</f>
        <v>92570092024/25</v>
      </c>
      <c r="C95" s="101" t="s">
        <v>890</v>
      </c>
      <c r="D95" t="str">
        <f>CONCATENATE(A95,C95)</f>
        <v>92570092024/25</v>
      </c>
      <c r="E95" s="37">
        <f>VLOOKUP(A95,'2425 Funding Detail'!$A$4:$M$20,12,(FALSE))</f>
        <v>215</v>
      </c>
      <c r="F95" s="549">
        <f>$E$95*'2425 Band Calculations'!D15</f>
        <v>39.577114427860693</v>
      </c>
      <c r="G95" s="549">
        <f>$E$95*'2425 Band Calculations'!E15</f>
        <v>106.96517412935323</v>
      </c>
      <c r="H95" s="549">
        <f>$E$95*'2425 Band Calculations'!F15</f>
        <v>14.975124378109454</v>
      </c>
      <c r="I95" s="549">
        <f>$E$95*'2425 Band Calculations'!G15</f>
        <v>14.975124378109454</v>
      </c>
      <c r="J95" s="549">
        <f>$E$95*'2425 Band Calculations'!H15</f>
        <v>7.487562189054727</v>
      </c>
      <c r="K95" s="549">
        <f>$E$95*'2425 Band Calculations'!I15</f>
        <v>18.184079601990049</v>
      </c>
      <c r="L95" s="169">
        <f>$E$95*'2425 Band Calculations'!J15</f>
        <v>12.835820895522389</v>
      </c>
      <c r="N95" s="7"/>
      <c r="R95" s="351"/>
    </row>
    <row r="96" spans="1:18" x14ac:dyDescent="0.25">
      <c r="A96" s="341">
        <v>9257009</v>
      </c>
      <c r="B96" t="str">
        <f t="shared" ref="B96:B99" si="50">CONCATENATE(A96,C96)</f>
        <v>9257009</v>
      </c>
      <c r="F96" s="170">
        <f t="shared" ref="F96:K96" si="51">F95-F94</f>
        <v>16.454375409772837</v>
      </c>
      <c r="G96" s="170">
        <f t="shared" si="51"/>
        <v>38.880597014925357</v>
      </c>
      <c r="H96" s="170">
        <f t="shared" si="51"/>
        <v>14.975124378109454</v>
      </c>
      <c r="I96" s="170">
        <f t="shared" si="51"/>
        <v>14.975124378109454</v>
      </c>
      <c r="J96" s="170">
        <f t="shared" si="51"/>
        <v>7.487562189054727</v>
      </c>
      <c r="K96" s="170">
        <f t="shared" si="51"/>
        <v>18.184079601990049</v>
      </c>
      <c r="L96" s="37">
        <f>L94+L95</f>
        <v>12.835820895522389</v>
      </c>
      <c r="M96" s="7"/>
      <c r="R96" s="351"/>
    </row>
    <row r="97" spans="1:18" x14ac:dyDescent="0.25">
      <c r="A97" s="341">
        <v>9257009</v>
      </c>
      <c r="B97" t="str">
        <f t="shared" si="50"/>
        <v>9257009a</v>
      </c>
      <c r="C97" s="101" t="s">
        <v>349</v>
      </c>
      <c r="D97" s="101" t="s">
        <v>346</v>
      </c>
      <c r="F97" s="549">
        <f t="shared" ref="F97:K97" si="52">IF(F94&gt;F95,(F95),(F94))</f>
        <v>23.122739018087856</v>
      </c>
      <c r="G97" s="549">
        <f t="shared" si="52"/>
        <v>68.084577114427873</v>
      </c>
      <c r="H97" s="549">
        <f t="shared" si="52"/>
        <v>0</v>
      </c>
      <c r="I97" s="549">
        <f t="shared" si="52"/>
        <v>0</v>
      </c>
      <c r="J97" s="549">
        <f t="shared" si="52"/>
        <v>0</v>
      </c>
      <c r="K97" s="549">
        <f t="shared" si="52"/>
        <v>0</v>
      </c>
      <c r="L97" s="37"/>
      <c r="M97" s="7"/>
      <c r="R97" s="351"/>
    </row>
    <row r="98" spans="1:18" x14ac:dyDescent="0.25">
      <c r="A98" s="341"/>
      <c r="B98" t="s">
        <v>376</v>
      </c>
      <c r="C98" s="101" t="s">
        <v>312</v>
      </c>
      <c r="D98" s="101" t="s">
        <v>351</v>
      </c>
      <c r="F98" s="664">
        <f>'2324 MFG Protection'!F109</f>
        <v>411.46437416886545</v>
      </c>
      <c r="G98" s="664">
        <f>'2324 MFG Protection'!G109</f>
        <v>369.71868618645601</v>
      </c>
      <c r="H98" s="664">
        <f>'2324 MFG Protection'!H109</f>
        <v>0</v>
      </c>
      <c r="I98" s="664">
        <f>'2324 MFG Protection'!I109</f>
        <v>0</v>
      </c>
      <c r="J98" s="664">
        <f>'2324 MFG Protection'!J109</f>
        <v>0</v>
      </c>
      <c r="K98" s="664">
        <f>'2324 MFG Protection'!K109</f>
        <v>0</v>
      </c>
      <c r="L98" s="37"/>
      <c r="M98" s="7"/>
      <c r="R98" s="351"/>
    </row>
    <row r="99" spans="1:18" x14ac:dyDescent="0.25">
      <c r="A99" s="341">
        <v>9257009</v>
      </c>
      <c r="B99" t="str">
        <f t="shared" si="50"/>
        <v>9257009b</v>
      </c>
      <c r="C99" s="101" t="s">
        <v>353</v>
      </c>
      <c r="D99" s="101" t="s">
        <v>354</v>
      </c>
      <c r="F99" s="671">
        <v>103</v>
      </c>
      <c r="G99" s="671">
        <v>102</v>
      </c>
      <c r="H99" s="671">
        <v>468</v>
      </c>
      <c r="I99" s="671">
        <v>500</v>
      </c>
      <c r="J99" s="671">
        <v>500</v>
      </c>
      <c r="K99" s="671">
        <v>363</v>
      </c>
      <c r="L99" s="37"/>
      <c r="M99" s="7"/>
      <c r="R99" s="351"/>
    </row>
    <row r="100" spans="1:18" x14ac:dyDescent="0.25">
      <c r="A100" s="341"/>
      <c r="B100" t="s">
        <v>377</v>
      </c>
      <c r="C100" s="101" t="s">
        <v>890</v>
      </c>
      <c r="D100" s="101" t="s">
        <v>351</v>
      </c>
      <c r="F100" s="550">
        <f>IF(F98-F99&gt;0,(F98-F99),(0))</f>
        <v>308.46437416886545</v>
      </c>
      <c r="G100" s="550">
        <f t="shared" ref="G100:K100" si="53">IF(G98-G99&gt;0,(G98-G99),(0))</f>
        <v>267.71868618645601</v>
      </c>
      <c r="H100" s="550">
        <f t="shared" si="53"/>
        <v>0</v>
      </c>
      <c r="I100" s="550">
        <f t="shared" si="53"/>
        <v>0</v>
      </c>
      <c r="J100" s="550">
        <f t="shared" si="53"/>
        <v>0</v>
      </c>
      <c r="K100" s="550">
        <f t="shared" si="53"/>
        <v>0</v>
      </c>
      <c r="L100" s="37"/>
      <c r="M100" s="7"/>
      <c r="R100" s="351"/>
    </row>
    <row r="101" spans="1:18" x14ac:dyDescent="0.25">
      <c r="A101" s="341">
        <v>9257009</v>
      </c>
      <c r="B101" t="str">
        <f>CONCATENATE(A101,C101)</f>
        <v>9257009c</v>
      </c>
      <c r="C101" s="101" t="s">
        <v>357</v>
      </c>
      <c r="D101" s="101" t="s">
        <v>217</v>
      </c>
      <c r="F101" s="7">
        <f t="shared" ref="F101:K101" si="54">IF(F100&lt;0,0,(F100*F97))</f>
        <v>7132.5412202844764</v>
      </c>
      <c r="G101" s="7">
        <f t="shared" si="54"/>
        <v>18227.51353463508</v>
      </c>
      <c r="H101" s="7">
        <f t="shared" si="54"/>
        <v>0</v>
      </c>
      <c r="I101" s="7">
        <f t="shared" si="54"/>
        <v>0</v>
      </c>
      <c r="J101" s="7">
        <f t="shared" si="54"/>
        <v>0</v>
      </c>
      <c r="K101" s="7">
        <f t="shared" si="54"/>
        <v>0</v>
      </c>
      <c r="L101" s="141">
        <f>SUM(F101:K101)</f>
        <v>25360.054754919554</v>
      </c>
      <c r="M101" s="140">
        <f>L101-O94</f>
        <v>-9326.2689845346977</v>
      </c>
      <c r="R101" s="351"/>
    </row>
    <row r="102" spans="1:18" x14ac:dyDescent="0.25">
      <c r="A102" s="171"/>
      <c r="B102" s="171" t="s">
        <v>278</v>
      </c>
      <c r="C102" s="171"/>
      <c r="D102" s="171"/>
      <c r="E102" s="172"/>
      <c r="F102" s="173"/>
      <c r="G102" s="173"/>
      <c r="H102" s="173"/>
      <c r="I102" s="173"/>
      <c r="J102" s="173"/>
      <c r="K102" s="173"/>
      <c r="L102" s="173"/>
      <c r="M102" s="173"/>
      <c r="N102" s="172"/>
      <c r="O102" s="172"/>
      <c r="P102" s="172"/>
      <c r="Q102" s="172"/>
    </row>
    <row r="103" spans="1:18" x14ac:dyDescent="0.25">
      <c r="A103" s="74">
        <v>9257029</v>
      </c>
      <c r="B103" t="str">
        <f>CONCATENATE(A103,C103)</f>
        <v>92570292023/24</v>
      </c>
      <c r="C103" s="672" t="s">
        <v>312</v>
      </c>
      <c r="D103" s="101" t="s">
        <v>346</v>
      </c>
      <c r="E103" s="37">
        <f>SUM(F103:K103)</f>
        <v>0</v>
      </c>
      <c r="F103" s="670">
        <f>'2324 MFG Protection'!F121</f>
        <v>0</v>
      </c>
      <c r="G103" s="670">
        <f>'2324 MFG Protection'!G121</f>
        <v>0</v>
      </c>
      <c r="H103" s="670">
        <f>'2324 MFG Protection'!H121</f>
        <v>0</v>
      </c>
      <c r="I103" s="670">
        <f>'2324 MFG Protection'!I121</f>
        <v>0</v>
      </c>
      <c r="J103" s="670">
        <f>'2324 MFG Protection'!J121</f>
        <v>0</v>
      </c>
      <c r="K103" s="670">
        <f>'2324 MFG Protection'!K121</f>
        <v>0</v>
      </c>
      <c r="L103" s="37"/>
      <c r="N103" s="7"/>
      <c r="O103" s="140">
        <f>'2324 MFG Protection'!L120</f>
        <v>0</v>
      </c>
      <c r="R103" s="351"/>
    </row>
    <row r="104" spans="1:18" x14ac:dyDescent="0.25">
      <c r="A104" s="74">
        <v>9257029</v>
      </c>
      <c r="B104" t="str">
        <f>CONCATENATE(A104,C104)</f>
        <v>92570292024/25</v>
      </c>
      <c r="C104" s="101" t="s">
        <v>890</v>
      </c>
      <c r="D104" t="str">
        <f>CONCATENATE(A104,C104)</f>
        <v>92570292024/25</v>
      </c>
      <c r="E104" s="37">
        <f>VLOOKUP(A104,'2425 Funding Detail'!$A$4:$M$20,12,(FALSE))</f>
        <v>80.75</v>
      </c>
      <c r="F104" s="549">
        <f>$E$104*'2425 Band Calculations'!D16</f>
        <v>0</v>
      </c>
      <c r="G104" s="549">
        <f>$E$104*'2425 Band Calculations'!E16</f>
        <v>0</v>
      </c>
      <c r="H104" s="549">
        <f>$E$104*'2425 Band Calculations'!F16</f>
        <v>80.75</v>
      </c>
      <c r="I104" s="549">
        <f>$E$104*'2425 Band Calculations'!G16</f>
        <v>0</v>
      </c>
      <c r="J104" s="549">
        <f>$E$104*'2425 Band Calculations'!H16</f>
        <v>0</v>
      </c>
      <c r="K104" s="549">
        <f>$E$104*'2425 Band Calculations'!I16</f>
        <v>0</v>
      </c>
      <c r="L104" s="169">
        <f>$E$104*'2425 Band Calculations'!J16</f>
        <v>0</v>
      </c>
      <c r="N104" s="7"/>
      <c r="R104" s="351"/>
    </row>
    <row r="105" spans="1:18" x14ac:dyDescent="0.25">
      <c r="A105" s="74">
        <v>9257029</v>
      </c>
      <c r="B105" t="str">
        <f t="shared" ref="B105:B108" si="55">CONCATENATE(A105,C105)</f>
        <v>9257029</v>
      </c>
      <c r="F105" s="170">
        <f t="shared" ref="F105:K105" si="56">F104-F103</f>
        <v>0</v>
      </c>
      <c r="G105" s="170">
        <f t="shared" si="56"/>
        <v>0</v>
      </c>
      <c r="H105" s="170">
        <f t="shared" si="56"/>
        <v>80.75</v>
      </c>
      <c r="I105" s="170">
        <f t="shared" si="56"/>
        <v>0</v>
      </c>
      <c r="J105" s="170">
        <f t="shared" si="56"/>
        <v>0</v>
      </c>
      <c r="K105" s="170">
        <f t="shared" si="56"/>
        <v>0</v>
      </c>
      <c r="R105" s="351"/>
    </row>
    <row r="106" spans="1:18" x14ac:dyDescent="0.25">
      <c r="A106" s="74">
        <v>9257029</v>
      </c>
      <c r="B106" t="str">
        <f t="shared" si="55"/>
        <v>9257029a</v>
      </c>
      <c r="C106" s="101" t="s">
        <v>349</v>
      </c>
      <c r="D106" s="101" t="s">
        <v>346</v>
      </c>
      <c r="F106" s="549">
        <f t="shared" ref="F106:K106" si="57">IF(F103&gt;F104,(F104),(F103))</f>
        <v>0</v>
      </c>
      <c r="G106" s="549">
        <f t="shared" si="57"/>
        <v>0</v>
      </c>
      <c r="H106" s="549">
        <f t="shared" si="57"/>
        <v>0</v>
      </c>
      <c r="I106" s="549">
        <f t="shared" si="57"/>
        <v>0</v>
      </c>
      <c r="J106" s="549">
        <f t="shared" si="57"/>
        <v>0</v>
      </c>
      <c r="K106" s="549">
        <f t="shared" si="57"/>
        <v>0</v>
      </c>
      <c r="L106" s="37"/>
      <c r="M106" s="7"/>
      <c r="O106" s="7"/>
      <c r="P106" s="7"/>
      <c r="R106" s="351"/>
    </row>
    <row r="107" spans="1:18" x14ac:dyDescent="0.25">
      <c r="A107" s="74"/>
      <c r="B107" t="s">
        <v>378</v>
      </c>
      <c r="C107" s="101" t="s">
        <v>312</v>
      </c>
      <c r="D107" s="101" t="s">
        <v>351</v>
      </c>
      <c r="F107" s="664">
        <f>'2324 MFG Protection'!F119</f>
        <v>0</v>
      </c>
      <c r="G107" s="664">
        <f>'2324 MFG Protection'!G119</f>
        <v>0</v>
      </c>
      <c r="H107" s="664">
        <f>'2324 MFG Protection'!H119</f>
        <v>0</v>
      </c>
      <c r="I107" s="664">
        <f>'2324 MFG Protection'!I119</f>
        <v>0</v>
      </c>
      <c r="J107" s="664">
        <f>'2324 MFG Protection'!J119</f>
        <v>0</v>
      </c>
      <c r="K107" s="664">
        <f>'2324 MFG Protection'!K119</f>
        <v>0</v>
      </c>
      <c r="L107" s="37"/>
      <c r="M107" s="7"/>
      <c r="O107" s="7"/>
      <c r="P107" s="7"/>
      <c r="R107" s="351"/>
    </row>
    <row r="108" spans="1:18" x14ac:dyDescent="0.25">
      <c r="A108" s="74">
        <v>9257029</v>
      </c>
      <c r="B108" t="str">
        <f t="shared" si="55"/>
        <v>9257029b</v>
      </c>
      <c r="C108" s="101" t="s">
        <v>353</v>
      </c>
      <c r="D108" s="101" t="s">
        <v>354</v>
      </c>
      <c r="F108" s="671">
        <v>103</v>
      </c>
      <c r="G108" s="671">
        <v>102</v>
      </c>
      <c r="H108" s="671">
        <v>468</v>
      </c>
      <c r="I108" s="671">
        <v>500</v>
      </c>
      <c r="J108" s="671">
        <v>500</v>
      </c>
      <c r="K108" s="671">
        <v>363</v>
      </c>
      <c r="L108" s="37"/>
      <c r="M108" s="7"/>
      <c r="R108" s="351"/>
    </row>
    <row r="109" spans="1:18" x14ac:dyDescent="0.25">
      <c r="A109" s="74"/>
      <c r="B109" t="s">
        <v>379</v>
      </c>
      <c r="C109" s="101" t="s">
        <v>890</v>
      </c>
      <c r="D109" s="101" t="s">
        <v>351</v>
      </c>
      <c r="F109" s="550">
        <f>IF(F107-F108&gt;0,(F107-F108),(0))</f>
        <v>0</v>
      </c>
      <c r="G109" s="550">
        <f t="shared" ref="G109:K109" si="58">IF(G107-G108&gt;0,(G107-G108),(0))</f>
        <v>0</v>
      </c>
      <c r="H109" s="550">
        <f t="shared" si="58"/>
        <v>0</v>
      </c>
      <c r="I109" s="550">
        <f t="shared" si="58"/>
        <v>0</v>
      </c>
      <c r="J109" s="550">
        <f t="shared" si="58"/>
        <v>0</v>
      </c>
      <c r="K109" s="550">
        <f t="shared" si="58"/>
        <v>0</v>
      </c>
      <c r="L109" s="37"/>
      <c r="M109" s="7"/>
      <c r="R109" s="351"/>
    </row>
    <row r="110" spans="1:18" x14ac:dyDescent="0.25">
      <c r="A110" s="74">
        <v>9257029</v>
      </c>
      <c r="B110" t="str">
        <f>CONCATENATE(A110,C110)</f>
        <v>9257029c</v>
      </c>
      <c r="C110" s="101" t="s">
        <v>357</v>
      </c>
      <c r="D110" s="101" t="s">
        <v>217</v>
      </c>
      <c r="F110" s="7">
        <f t="shared" ref="F110:K110" si="59">IF(F109&lt;0,0,(F109*F106))</f>
        <v>0</v>
      </c>
      <c r="G110" s="7">
        <f t="shared" si="59"/>
        <v>0</v>
      </c>
      <c r="H110" s="7">
        <f t="shared" si="59"/>
        <v>0</v>
      </c>
      <c r="I110" s="7">
        <f t="shared" si="59"/>
        <v>0</v>
      </c>
      <c r="J110" s="7">
        <f t="shared" si="59"/>
        <v>0</v>
      </c>
      <c r="K110" s="7">
        <f t="shared" si="59"/>
        <v>0</v>
      </c>
      <c r="L110" s="141">
        <f>SUM(F110:K110)</f>
        <v>0</v>
      </c>
      <c r="M110" s="140">
        <f>L110-O103</f>
        <v>0</v>
      </c>
      <c r="R110" s="351"/>
    </row>
    <row r="111" spans="1:18" x14ac:dyDescent="0.25">
      <c r="A111" s="171"/>
      <c r="B111" s="171" t="s">
        <v>380</v>
      </c>
      <c r="C111" s="171"/>
      <c r="D111" s="171"/>
      <c r="E111" s="172"/>
      <c r="F111" s="173"/>
      <c r="G111" s="173"/>
      <c r="H111" s="173"/>
      <c r="I111" s="173"/>
      <c r="J111" s="173"/>
      <c r="K111" s="173"/>
      <c r="L111" s="173"/>
      <c r="M111" s="173"/>
      <c r="N111" s="172"/>
      <c r="O111" s="172"/>
      <c r="P111" s="172"/>
      <c r="Q111" s="172"/>
    </row>
    <row r="112" spans="1:18" x14ac:dyDescent="0.25">
      <c r="A112" s="74">
        <v>9257032</v>
      </c>
      <c r="B112" t="str">
        <f>CONCATENATE(A112,C112)</f>
        <v>92570322023/24</v>
      </c>
      <c r="C112" s="672" t="s">
        <v>312</v>
      </c>
      <c r="D112" s="101" t="s">
        <v>346</v>
      </c>
      <c r="E112" s="37">
        <f>SUM(F112:K112)</f>
        <v>0</v>
      </c>
      <c r="F112" s="670">
        <f>'2324 MFG Protection'!F131</f>
        <v>0</v>
      </c>
      <c r="G112" s="670">
        <f>'2324 MFG Protection'!G131</f>
        <v>0</v>
      </c>
      <c r="H112" s="670">
        <f>'2324 MFG Protection'!H131</f>
        <v>0</v>
      </c>
      <c r="I112" s="670">
        <f>'2324 MFG Protection'!I131</f>
        <v>0</v>
      </c>
      <c r="J112" s="670">
        <f>'2324 MFG Protection'!J131</f>
        <v>0</v>
      </c>
      <c r="K112" s="670">
        <f>'2324 MFG Protection'!K131</f>
        <v>0</v>
      </c>
      <c r="L112" s="37"/>
      <c r="N112" s="7"/>
      <c r="O112" s="140">
        <f>'2324 MFG Protection'!L130</f>
        <v>0</v>
      </c>
      <c r="R112" s="351"/>
    </row>
    <row r="113" spans="1:18" x14ac:dyDescent="0.25">
      <c r="A113" s="74">
        <v>9257032</v>
      </c>
      <c r="B113" t="str">
        <f>CONCATENATE(A113,C113)</f>
        <v>92570322024/25</v>
      </c>
      <c r="C113" s="101" t="s">
        <v>890</v>
      </c>
      <c r="D113" t="str">
        <f>CONCATENATE(A113,C113)</f>
        <v>92570322024/25</v>
      </c>
      <c r="E113" s="37">
        <f>VLOOKUP(A113,'2425 Funding Detail'!$A$4:$M$20,12,(FALSE))</f>
        <v>115.00000000000001</v>
      </c>
      <c r="F113" s="549">
        <f>$E$113*'2425 Band Calculations'!D17</f>
        <v>0</v>
      </c>
      <c r="G113" s="549">
        <f>$E$113*'2425 Band Calculations'!E17</f>
        <v>0</v>
      </c>
      <c r="H113" s="549">
        <f>$E$113*'2425 Band Calculations'!F17</f>
        <v>115.00000000000001</v>
      </c>
      <c r="I113" s="549">
        <f>$E$113*'2425 Band Calculations'!G17</f>
        <v>0</v>
      </c>
      <c r="J113" s="549">
        <f>$E$113*'2425 Band Calculations'!H17</f>
        <v>0</v>
      </c>
      <c r="K113" s="549">
        <f>$E$113*'2425 Band Calculations'!I17</f>
        <v>0</v>
      </c>
      <c r="L113" s="169">
        <f>$E$113*'2425 Band Calculations'!J17</f>
        <v>0</v>
      </c>
      <c r="N113" s="7"/>
      <c r="R113" s="351"/>
    </row>
    <row r="114" spans="1:18" x14ac:dyDescent="0.25">
      <c r="A114" s="74">
        <v>9257032</v>
      </c>
      <c r="B114" t="str">
        <f t="shared" ref="B114:B117" si="60">CONCATENATE(A114,C114)</f>
        <v>9257032</v>
      </c>
      <c r="F114" s="170">
        <f t="shared" ref="F114:K114" si="61">F113-F112</f>
        <v>0</v>
      </c>
      <c r="G114" s="170">
        <f t="shared" si="61"/>
        <v>0</v>
      </c>
      <c r="H114" s="170">
        <f t="shared" si="61"/>
        <v>115.00000000000001</v>
      </c>
      <c r="I114" s="170">
        <f t="shared" si="61"/>
        <v>0</v>
      </c>
      <c r="J114" s="170">
        <f t="shared" si="61"/>
        <v>0</v>
      </c>
      <c r="K114" s="170">
        <f t="shared" si="61"/>
        <v>0</v>
      </c>
      <c r="R114" s="351"/>
    </row>
    <row r="115" spans="1:18" x14ac:dyDescent="0.25">
      <c r="A115" s="74">
        <v>9257032</v>
      </c>
      <c r="B115" t="str">
        <f t="shared" si="60"/>
        <v>9257032a</v>
      </c>
      <c r="C115" s="101" t="s">
        <v>349</v>
      </c>
      <c r="D115" s="101" t="s">
        <v>346</v>
      </c>
      <c r="F115" s="549">
        <f t="shared" ref="F115:K115" si="62">IF(F112&gt;F113,(F113),(F112))</f>
        <v>0</v>
      </c>
      <c r="G115" s="549">
        <f t="shared" si="62"/>
        <v>0</v>
      </c>
      <c r="H115" s="549">
        <f t="shared" si="62"/>
        <v>0</v>
      </c>
      <c r="I115" s="549">
        <f t="shared" si="62"/>
        <v>0</v>
      </c>
      <c r="J115" s="549">
        <f t="shared" si="62"/>
        <v>0</v>
      </c>
      <c r="K115" s="549">
        <f t="shared" si="62"/>
        <v>0</v>
      </c>
      <c r="L115" s="37"/>
      <c r="M115" s="7"/>
      <c r="O115" s="7"/>
      <c r="P115" s="7"/>
      <c r="R115" s="351"/>
    </row>
    <row r="116" spans="1:18" x14ac:dyDescent="0.25">
      <c r="A116" s="74"/>
      <c r="B116" t="s">
        <v>381</v>
      </c>
      <c r="C116" s="101" t="s">
        <v>312</v>
      </c>
      <c r="D116" s="101" t="s">
        <v>351</v>
      </c>
      <c r="F116" s="664">
        <f>'2324 MFG Protection'!F129</f>
        <v>0</v>
      </c>
      <c r="G116" s="664">
        <f>'2324 MFG Protection'!G129</f>
        <v>0</v>
      </c>
      <c r="H116" s="664">
        <f>'2324 MFG Protection'!H129</f>
        <v>0</v>
      </c>
      <c r="I116" s="664">
        <f>'2324 MFG Protection'!I129</f>
        <v>0</v>
      </c>
      <c r="J116" s="664">
        <f>'2324 MFG Protection'!J129</f>
        <v>0</v>
      </c>
      <c r="K116" s="664">
        <f>'2324 MFG Protection'!K129</f>
        <v>0</v>
      </c>
      <c r="L116" s="37"/>
      <c r="M116" s="7"/>
      <c r="O116" s="7"/>
      <c r="P116" s="7"/>
      <c r="R116" s="351"/>
    </row>
    <row r="117" spans="1:18" x14ac:dyDescent="0.25">
      <c r="A117" s="74">
        <v>9257032</v>
      </c>
      <c r="B117" t="str">
        <f t="shared" si="60"/>
        <v>9257032b</v>
      </c>
      <c r="C117" s="101" t="s">
        <v>353</v>
      </c>
      <c r="D117" s="101" t="s">
        <v>354</v>
      </c>
      <c r="F117" s="671">
        <v>103</v>
      </c>
      <c r="G117" s="671">
        <v>102</v>
      </c>
      <c r="H117" s="671">
        <v>468</v>
      </c>
      <c r="I117" s="671">
        <v>500</v>
      </c>
      <c r="J117" s="671">
        <v>500</v>
      </c>
      <c r="K117" s="671">
        <v>363</v>
      </c>
      <c r="L117" s="37"/>
      <c r="M117" s="7"/>
      <c r="R117" s="351"/>
    </row>
    <row r="118" spans="1:18" x14ac:dyDescent="0.25">
      <c r="A118" s="74"/>
      <c r="B118" t="s">
        <v>382</v>
      </c>
      <c r="C118" s="101" t="s">
        <v>890</v>
      </c>
      <c r="D118" s="101" t="s">
        <v>351</v>
      </c>
      <c r="F118" s="550">
        <f>IF(F116-F117&gt;0,(F116-F117),(0))</f>
        <v>0</v>
      </c>
      <c r="G118" s="550">
        <f t="shared" ref="G118:K118" si="63">IF(G116-G117&gt;0,(G116-G117),(0))</f>
        <v>0</v>
      </c>
      <c r="H118" s="550">
        <f t="shared" si="63"/>
        <v>0</v>
      </c>
      <c r="I118" s="550">
        <f t="shared" si="63"/>
        <v>0</v>
      </c>
      <c r="J118" s="550">
        <f t="shared" si="63"/>
        <v>0</v>
      </c>
      <c r="K118" s="550">
        <f t="shared" si="63"/>
        <v>0</v>
      </c>
      <c r="L118" s="37"/>
      <c r="M118" s="7"/>
      <c r="R118" s="351"/>
    </row>
    <row r="119" spans="1:18" x14ac:dyDescent="0.25">
      <c r="A119" s="74">
        <v>9257032</v>
      </c>
      <c r="B119" t="str">
        <f>CONCATENATE(A119,C119)</f>
        <v>9257032c</v>
      </c>
      <c r="C119" s="101" t="s">
        <v>357</v>
      </c>
      <c r="D119" s="101" t="s">
        <v>217</v>
      </c>
      <c r="F119" s="7">
        <f t="shared" ref="F119:K119" si="64">IF(F118&lt;0,0,(F118*F115))</f>
        <v>0</v>
      </c>
      <c r="G119" s="7">
        <f t="shared" si="64"/>
        <v>0</v>
      </c>
      <c r="H119" s="7">
        <f t="shared" si="64"/>
        <v>0</v>
      </c>
      <c r="I119" s="7">
        <f t="shared" si="64"/>
        <v>0</v>
      </c>
      <c r="J119" s="7">
        <f t="shared" si="64"/>
        <v>0</v>
      </c>
      <c r="K119" s="7">
        <f t="shared" si="64"/>
        <v>0</v>
      </c>
      <c r="L119" s="141">
        <f>SUM(F119:K119)</f>
        <v>0</v>
      </c>
      <c r="M119" s="140">
        <f>L119-O112</f>
        <v>0</v>
      </c>
      <c r="R119" s="351"/>
    </row>
    <row r="120" spans="1:18" x14ac:dyDescent="0.25">
      <c r="A120" s="171"/>
      <c r="B120" s="171" t="s">
        <v>383</v>
      </c>
      <c r="C120" s="171"/>
      <c r="D120" s="171"/>
      <c r="E120" s="172"/>
      <c r="F120" s="173"/>
      <c r="G120" s="173"/>
      <c r="H120" s="173"/>
      <c r="I120" s="173"/>
      <c r="J120" s="173"/>
      <c r="K120" s="173"/>
      <c r="L120" s="173"/>
      <c r="M120" s="173"/>
      <c r="N120" s="172"/>
      <c r="O120" s="172"/>
      <c r="P120" s="172"/>
      <c r="Q120" s="172"/>
    </row>
    <row r="121" spans="1:18" x14ac:dyDescent="0.25">
      <c r="A121" s="74">
        <v>9257030</v>
      </c>
      <c r="B121" t="str">
        <f>CONCATENATE(A121,C121)</f>
        <v>92570302023/24</v>
      </c>
      <c r="C121" s="672" t="s">
        <v>312</v>
      </c>
      <c r="D121" s="101" t="s">
        <v>346</v>
      </c>
      <c r="E121" s="37">
        <f>SUM(F121:K121)</f>
        <v>70.833333333333343</v>
      </c>
      <c r="F121" s="670">
        <f>'2324 MFG Protection'!F141</f>
        <v>0</v>
      </c>
      <c r="G121" s="670">
        <f>'2324 MFG Protection'!G141</f>
        <v>0</v>
      </c>
      <c r="H121" s="670">
        <f>'2324 MFG Protection'!H141</f>
        <v>70.833333333333343</v>
      </c>
      <c r="I121" s="670">
        <f>'2324 MFG Protection'!I141</f>
        <v>0</v>
      </c>
      <c r="J121" s="670">
        <f>'2324 MFG Protection'!J141</f>
        <v>0</v>
      </c>
      <c r="K121" s="670">
        <f>'2324 MFG Protection'!K141</f>
        <v>0</v>
      </c>
      <c r="L121" s="37"/>
      <c r="N121" s="7"/>
      <c r="O121" s="140">
        <f>'2324 MFG Protection'!L140</f>
        <v>2871.4524356642</v>
      </c>
      <c r="R121" s="351"/>
    </row>
    <row r="122" spans="1:18" x14ac:dyDescent="0.25">
      <c r="A122" s="74">
        <v>9257030</v>
      </c>
      <c r="B122" t="str">
        <f>CONCATENATE(A122,C122)</f>
        <v>92570302024/25</v>
      </c>
      <c r="C122" s="101" t="s">
        <v>890</v>
      </c>
      <c r="D122" t="str">
        <f>CONCATENATE(A122,C122)</f>
        <v>92570302024/25</v>
      </c>
      <c r="E122" s="37">
        <f>VLOOKUP(A122,'2425 Funding Detail'!$A$4:$M$20,12,(FALSE))</f>
        <v>73.5</v>
      </c>
      <c r="F122" s="549">
        <f>$E$122*'2425 Band Calculations'!D18</f>
        <v>0</v>
      </c>
      <c r="G122" s="549">
        <f>$E$122*'2425 Band Calculations'!E18</f>
        <v>0</v>
      </c>
      <c r="H122" s="549">
        <f>$E$122*'2425 Band Calculations'!F18</f>
        <v>73.5</v>
      </c>
      <c r="I122" s="549">
        <f>$E$122*'2425 Band Calculations'!G18</f>
        <v>0</v>
      </c>
      <c r="J122" s="549">
        <f>$E$122*'2425 Band Calculations'!H18</f>
        <v>0</v>
      </c>
      <c r="K122" s="549">
        <f>$E$122*'2425 Band Calculations'!I18</f>
        <v>0</v>
      </c>
      <c r="L122" s="169">
        <f>$E$122*'2425 Band Calculations'!J18</f>
        <v>0</v>
      </c>
      <c r="N122" s="7"/>
      <c r="R122" s="351"/>
    </row>
    <row r="123" spans="1:18" x14ac:dyDescent="0.25">
      <c r="A123" s="74">
        <v>9257030</v>
      </c>
      <c r="B123" t="str">
        <f t="shared" ref="B123:B126" si="65">CONCATENATE(A123,C123)</f>
        <v>9257030</v>
      </c>
      <c r="F123" s="170">
        <f t="shared" ref="F123:K123" si="66">F122-F121</f>
        <v>0</v>
      </c>
      <c r="G123" s="170">
        <f t="shared" si="66"/>
        <v>0</v>
      </c>
      <c r="H123" s="170">
        <f t="shared" si="66"/>
        <v>2.6666666666666572</v>
      </c>
      <c r="I123" s="170">
        <f t="shared" si="66"/>
        <v>0</v>
      </c>
      <c r="J123" s="170">
        <f t="shared" si="66"/>
        <v>0</v>
      </c>
      <c r="K123" s="170">
        <f t="shared" si="66"/>
        <v>0</v>
      </c>
      <c r="R123" s="351"/>
    </row>
    <row r="124" spans="1:18" x14ac:dyDescent="0.25">
      <c r="A124" s="74">
        <v>9257030</v>
      </c>
      <c r="B124" t="str">
        <f t="shared" si="65"/>
        <v>9257030a</v>
      </c>
      <c r="C124" s="101" t="s">
        <v>349</v>
      </c>
      <c r="D124" s="101" t="s">
        <v>346</v>
      </c>
      <c r="F124" s="549">
        <f t="shared" ref="F124:K124" si="67">IF(F121&gt;F122,(F122),(F121))</f>
        <v>0</v>
      </c>
      <c r="G124" s="549">
        <f t="shared" si="67"/>
        <v>0</v>
      </c>
      <c r="H124" s="549">
        <f t="shared" si="67"/>
        <v>70.833333333333343</v>
      </c>
      <c r="I124" s="549">
        <f t="shared" si="67"/>
        <v>0</v>
      </c>
      <c r="J124" s="549">
        <f t="shared" si="67"/>
        <v>0</v>
      </c>
      <c r="K124" s="549">
        <f t="shared" si="67"/>
        <v>0</v>
      </c>
      <c r="L124" s="37"/>
      <c r="M124" s="7"/>
      <c r="O124" s="7"/>
      <c r="P124" s="7"/>
      <c r="R124" s="351"/>
    </row>
    <row r="125" spans="1:18" x14ac:dyDescent="0.25">
      <c r="A125" s="74"/>
      <c r="B125" t="s">
        <v>384</v>
      </c>
      <c r="C125" s="101" t="s">
        <v>312</v>
      </c>
      <c r="D125" s="101" t="s">
        <v>351</v>
      </c>
      <c r="F125" s="664">
        <f>'2324 MFG Protection'!F139</f>
        <v>0</v>
      </c>
      <c r="G125" s="664">
        <f>'2324 MFG Protection'!G139</f>
        <v>0</v>
      </c>
      <c r="H125" s="664">
        <f>'2324 MFG Protection'!H139</f>
        <v>41.020749080917142</v>
      </c>
      <c r="I125" s="664">
        <f>'2324 MFG Protection'!I139</f>
        <v>0</v>
      </c>
      <c r="J125" s="664">
        <f>'2324 MFG Protection'!J139</f>
        <v>0</v>
      </c>
      <c r="K125" s="664">
        <f>'2324 MFG Protection'!K139</f>
        <v>0</v>
      </c>
      <c r="L125" s="37"/>
      <c r="M125" s="7"/>
      <c r="O125" s="7"/>
      <c r="P125" s="7"/>
      <c r="R125" s="351"/>
    </row>
    <row r="126" spans="1:18" x14ac:dyDescent="0.25">
      <c r="A126" s="74">
        <v>9257030</v>
      </c>
      <c r="B126" t="str">
        <f t="shared" si="65"/>
        <v>9257030b</v>
      </c>
      <c r="C126" s="101" t="s">
        <v>353</v>
      </c>
      <c r="D126" s="101" t="s">
        <v>354</v>
      </c>
      <c r="F126" s="671">
        <v>103</v>
      </c>
      <c r="G126" s="671">
        <v>102</v>
      </c>
      <c r="H126" s="671">
        <v>468</v>
      </c>
      <c r="I126" s="671">
        <v>500</v>
      </c>
      <c r="J126" s="671">
        <v>500</v>
      </c>
      <c r="K126" s="671">
        <v>363</v>
      </c>
      <c r="L126" s="37"/>
      <c r="M126" s="7"/>
      <c r="R126" s="351"/>
    </row>
    <row r="127" spans="1:18" x14ac:dyDescent="0.25">
      <c r="A127" s="74"/>
      <c r="B127" t="s">
        <v>385</v>
      </c>
      <c r="C127" s="101" t="s">
        <v>890</v>
      </c>
      <c r="D127" s="101" t="s">
        <v>351</v>
      </c>
      <c r="F127" s="550">
        <f>IF(F125-F126&gt;0,(F125-F126),(0))</f>
        <v>0</v>
      </c>
      <c r="G127" s="550">
        <f t="shared" ref="G127:K127" si="68">IF(G125-G126&gt;0,(G125-G126),(0))</f>
        <v>0</v>
      </c>
      <c r="H127" s="550">
        <f t="shared" si="68"/>
        <v>0</v>
      </c>
      <c r="I127" s="550">
        <f t="shared" si="68"/>
        <v>0</v>
      </c>
      <c r="J127" s="550">
        <f t="shared" si="68"/>
        <v>0</v>
      </c>
      <c r="K127" s="550">
        <f t="shared" si="68"/>
        <v>0</v>
      </c>
      <c r="L127" s="37"/>
      <c r="M127" s="7"/>
      <c r="R127" s="351"/>
    </row>
    <row r="128" spans="1:18" x14ac:dyDescent="0.25">
      <c r="A128" s="74">
        <v>9257030</v>
      </c>
      <c r="B128" t="str">
        <f>CONCATENATE(A128,C128)</f>
        <v>9257030c</v>
      </c>
      <c r="C128" s="101" t="s">
        <v>357</v>
      </c>
      <c r="D128" s="101" t="s">
        <v>217</v>
      </c>
      <c r="F128" s="7">
        <f t="shared" ref="F128:G128" si="69">IF(F127&lt;0,0,(F127*F124))</f>
        <v>0</v>
      </c>
      <c r="G128" s="7">
        <f t="shared" si="69"/>
        <v>0</v>
      </c>
      <c r="H128" s="7">
        <f>IF(H127&lt;0,0,(H127*H124))</f>
        <v>0</v>
      </c>
      <c r="I128" s="7">
        <f t="shared" ref="I128:K128" si="70">IF(I127&lt;0,0,(I127*I124))</f>
        <v>0</v>
      </c>
      <c r="J128" s="7">
        <f t="shared" si="70"/>
        <v>0</v>
      </c>
      <c r="K128" s="7">
        <f t="shared" si="70"/>
        <v>0</v>
      </c>
      <c r="L128" s="141">
        <f>SUM(F128:K128)</f>
        <v>0</v>
      </c>
      <c r="M128" s="140">
        <f>L128-O121</f>
        <v>-2871.4524356642</v>
      </c>
      <c r="N128" s="2" t="s">
        <v>61</v>
      </c>
      <c r="R128" s="351"/>
    </row>
    <row r="129" spans="1:18" x14ac:dyDescent="0.25">
      <c r="A129" s="171"/>
      <c r="B129" s="171" t="s">
        <v>70</v>
      </c>
      <c r="C129" s="171"/>
      <c r="D129" s="171"/>
      <c r="E129" s="172"/>
      <c r="F129" s="173"/>
      <c r="G129" s="173"/>
      <c r="H129" s="173"/>
      <c r="I129" s="173"/>
      <c r="J129" s="173"/>
      <c r="K129" s="173"/>
      <c r="L129" s="173"/>
      <c r="M129" s="173"/>
      <c r="N129" s="172"/>
      <c r="O129" s="172"/>
      <c r="P129" s="172"/>
      <c r="Q129" s="172"/>
    </row>
    <row r="130" spans="1:18" x14ac:dyDescent="0.25">
      <c r="A130" s="74">
        <v>9257028</v>
      </c>
      <c r="B130" t="str">
        <f>CONCATENATE(A130,C130)</f>
        <v>92570282023/24</v>
      </c>
      <c r="C130" s="672" t="s">
        <v>312</v>
      </c>
      <c r="D130" s="101" t="s">
        <v>346</v>
      </c>
      <c r="E130" s="37">
        <f>SUM(F130:K130)</f>
        <v>0</v>
      </c>
      <c r="F130" s="670">
        <f>'2324 MFG Protection'!F151</f>
        <v>0</v>
      </c>
      <c r="G130" s="670">
        <f>'2324 MFG Protection'!G151</f>
        <v>0</v>
      </c>
      <c r="H130" s="670">
        <f>'2324 MFG Protection'!H151</f>
        <v>0</v>
      </c>
      <c r="I130" s="670">
        <f>'2324 MFG Protection'!I151</f>
        <v>0</v>
      </c>
      <c r="J130" s="670">
        <f>'2324 MFG Protection'!J151</f>
        <v>0</v>
      </c>
      <c r="K130" s="670">
        <f>'2324 MFG Protection'!K151</f>
        <v>0</v>
      </c>
      <c r="L130" s="37"/>
      <c r="N130" s="7"/>
      <c r="O130" s="140">
        <f>'2324 MFG Protection'!L150</f>
        <v>0</v>
      </c>
      <c r="R130" s="351"/>
    </row>
    <row r="131" spans="1:18" x14ac:dyDescent="0.25">
      <c r="A131" s="74">
        <v>9257028</v>
      </c>
      <c r="B131" t="str">
        <f>CONCATENATE(A131,C131)</f>
        <v>92570282024/25</v>
      </c>
      <c r="C131" s="101" t="s">
        <v>890</v>
      </c>
      <c r="D131" t="str">
        <f>CONCATENATE(A131,C131)</f>
        <v>92570282024/25</v>
      </c>
      <c r="E131" s="37">
        <f>VLOOKUP(A131,'2425 Funding Detail'!$A$4:$M$20,12,(FALSE))</f>
        <v>143.91666666666666</v>
      </c>
      <c r="F131" s="549">
        <f>$E$131*'2425 Band Calculations'!D19</f>
        <v>6.6937984496124026</v>
      </c>
      <c r="G131" s="549">
        <f>$E$131*'2425 Band Calculations'!E19</f>
        <v>54.666020671834623</v>
      </c>
      <c r="H131" s="549">
        <f>$E$131*'2425 Band Calculations'!F19</f>
        <v>7.8094315245478034</v>
      </c>
      <c r="I131" s="549">
        <f>$E$131*'2425 Band Calculations'!G19</f>
        <v>23.428294573643409</v>
      </c>
      <c r="J131" s="549">
        <f>$E$131*'2425 Band Calculations'!H19</f>
        <v>8.9250645994832034</v>
      </c>
      <c r="K131" s="549">
        <f>$E$131*'2425 Band Calculations'!I19</f>
        <v>20.081395348837209</v>
      </c>
      <c r="L131" s="169">
        <f>$E$131*'2425 Band Calculations'!J19</f>
        <v>22.31266149870801</v>
      </c>
      <c r="N131" s="7"/>
      <c r="R131" s="351"/>
    </row>
    <row r="132" spans="1:18" x14ac:dyDescent="0.25">
      <c r="A132" s="74">
        <v>9257028</v>
      </c>
      <c r="B132" t="str">
        <f t="shared" ref="B132:B135" si="71">CONCATENATE(A132,C132)</f>
        <v>9257028</v>
      </c>
      <c r="F132" s="170">
        <f t="shared" ref="F132:K132" si="72">F131-F130</f>
        <v>6.6937984496124026</v>
      </c>
      <c r="G132" s="170">
        <f t="shared" si="72"/>
        <v>54.666020671834623</v>
      </c>
      <c r="H132" s="170">
        <f t="shared" si="72"/>
        <v>7.8094315245478034</v>
      </c>
      <c r="I132" s="170">
        <f t="shared" si="72"/>
        <v>23.428294573643409</v>
      </c>
      <c r="J132" s="170">
        <f t="shared" si="72"/>
        <v>8.9250645994832034</v>
      </c>
      <c r="K132" s="170">
        <f t="shared" si="72"/>
        <v>20.081395348837209</v>
      </c>
      <c r="R132" s="351"/>
    </row>
    <row r="133" spans="1:18" x14ac:dyDescent="0.25">
      <c r="A133" s="74">
        <v>9257028</v>
      </c>
      <c r="B133" t="str">
        <f t="shared" si="71"/>
        <v>9257028a</v>
      </c>
      <c r="C133" s="101" t="s">
        <v>349</v>
      </c>
      <c r="D133" s="101" t="s">
        <v>346</v>
      </c>
      <c r="F133" s="549">
        <f t="shared" ref="F133:K133" si="73">IF(F130&gt;F131,(F131),(F130))</f>
        <v>0</v>
      </c>
      <c r="G133" s="549">
        <f t="shared" si="73"/>
        <v>0</v>
      </c>
      <c r="H133" s="549">
        <f t="shared" si="73"/>
        <v>0</v>
      </c>
      <c r="I133" s="549">
        <f t="shared" si="73"/>
        <v>0</v>
      </c>
      <c r="J133" s="549">
        <f t="shared" si="73"/>
        <v>0</v>
      </c>
      <c r="K133" s="549">
        <f t="shared" si="73"/>
        <v>0</v>
      </c>
      <c r="L133" s="37"/>
      <c r="M133" s="7"/>
      <c r="O133" s="7"/>
      <c r="P133" s="7"/>
      <c r="R133" s="351"/>
    </row>
    <row r="134" spans="1:18" x14ac:dyDescent="0.25">
      <c r="A134" s="74"/>
      <c r="B134" t="s">
        <v>386</v>
      </c>
      <c r="C134" s="101" t="s">
        <v>312</v>
      </c>
      <c r="D134" s="101" t="s">
        <v>351</v>
      </c>
      <c r="F134" s="664">
        <f>'2324 MFG Protection'!F149</f>
        <v>0</v>
      </c>
      <c r="G134" s="664">
        <f>'2324 MFG Protection'!G149</f>
        <v>0</v>
      </c>
      <c r="H134" s="664">
        <f>'2324 MFG Protection'!H149</f>
        <v>0</v>
      </c>
      <c r="I134" s="664">
        <f>'2324 MFG Protection'!I149</f>
        <v>0</v>
      </c>
      <c r="J134" s="664">
        <f>'2324 MFG Protection'!J149</f>
        <v>0</v>
      </c>
      <c r="K134" s="664">
        <f>'2324 MFG Protection'!K149</f>
        <v>0</v>
      </c>
      <c r="L134" s="37"/>
      <c r="M134" s="7"/>
      <c r="O134" s="7"/>
      <c r="P134" s="7"/>
      <c r="R134" s="351"/>
    </row>
    <row r="135" spans="1:18" x14ac:dyDescent="0.25">
      <c r="A135" s="74">
        <v>9257028</v>
      </c>
      <c r="B135" t="str">
        <f t="shared" si="71"/>
        <v>9257028b</v>
      </c>
      <c r="C135" s="101" t="s">
        <v>353</v>
      </c>
      <c r="D135" s="101" t="s">
        <v>354</v>
      </c>
      <c r="F135" s="671">
        <v>103</v>
      </c>
      <c r="G135" s="671">
        <v>102</v>
      </c>
      <c r="H135" s="671">
        <v>468</v>
      </c>
      <c r="I135" s="671">
        <v>500</v>
      </c>
      <c r="J135" s="671">
        <v>500</v>
      </c>
      <c r="K135" s="671">
        <v>363</v>
      </c>
      <c r="L135" s="37"/>
      <c r="M135" s="7"/>
      <c r="R135" s="351"/>
    </row>
    <row r="136" spans="1:18" x14ac:dyDescent="0.25">
      <c r="A136" s="74"/>
      <c r="B136" t="s">
        <v>387</v>
      </c>
      <c r="C136" s="101" t="s">
        <v>890</v>
      </c>
      <c r="D136" s="101" t="s">
        <v>351</v>
      </c>
      <c r="F136" s="550">
        <f>IF(F134-F135&gt;0,(F134-F135),(0))</f>
        <v>0</v>
      </c>
      <c r="G136" s="550">
        <f t="shared" ref="G136:K136" si="74">IF(G134-G135&gt;0,(G134-G135),(0))</f>
        <v>0</v>
      </c>
      <c r="H136" s="550">
        <f t="shared" si="74"/>
        <v>0</v>
      </c>
      <c r="I136" s="550">
        <f t="shared" si="74"/>
        <v>0</v>
      </c>
      <c r="J136" s="550">
        <f t="shared" si="74"/>
        <v>0</v>
      </c>
      <c r="K136" s="550">
        <f t="shared" si="74"/>
        <v>0</v>
      </c>
      <c r="L136" s="37"/>
      <c r="M136" s="7"/>
      <c r="R136" s="351"/>
    </row>
    <row r="137" spans="1:18" x14ac:dyDescent="0.25">
      <c r="A137" s="74">
        <v>9257028</v>
      </c>
      <c r="B137" t="str">
        <f>CONCATENATE(A137,C137)</f>
        <v>9257028c</v>
      </c>
      <c r="C137" s="101" t="s">
        <v>357</v>
      </c>
      <c r="D137" s="101" t="s">
        <v>217</v>
      </c>
      <c r="F137" s="7">
        <f t="shared" ref="F137:K137" si="75">IF(F136&lt;0,0,(F136*F133))</f>
        <v>0</v>
      </c>
      <c r="G137" s="7">
        <f t="shared" si="75"/>
        <v>0</v>
      </c>
      <c r="H137" s="7">
        <f t="shared" si="75"/>
        <v>0</v>
      </c>
      <c r="I137" s="7">
        <f t="shared" si="75"/>
        <v>0</v>
      </c>
      <c r="J137" s="7">
        <f t="shared" si="75"/>
        <v>0</v>
      </c>
      <c r="K137" s="7">
        <f t="shared" si="75"/>
        <v>0</v>
      </c>
      <c r="L137" s="141">
        <f>SUM(F137:K137)</f>
        <v>0</v>
      </c>
      <c r="M137" s="140">
        <f>L137-O130</f>
        <v>0</v>
      </c>
      <c r="R137" s="351"/>
    </row>
    <row r="138" spans="1:18" x14ac:dyDescent="0.25">
      <c r="A138" s="171"/>
      <c r="B138" s="171" t="s">
        <v>71</v>
      </c>
      <c r="C138" s="171"/>
      <c r="D138" s="171"/>
      <c r="E138" s="172"/>
      <c r="F138" s="173"/>
      <c r="G138" s="173"/>
      <c r="H138" s="173"/>
      <c r="I138" s="173"/>
      <c r="J138" s="173"/>
      <c r="K138" s="173"/>
      <c r="L138" s="173"/>
      <c r="M138" s="173"/>
      <c r="N138" s="172"/>
      <c r="O138" s="172"/>
      <c r="P138" s="172"/>
      <c r="Q138" s="172"/>
    </row>
    <row r="139" spans="1:18" x14ac:dyDescent="0.25">
      <c r="A139" s="74">
        <v>9257021</v>
      </c>
      <c r="B139" t="str">
        <f>CONCATENATE(A139,C139)</f>
        <v>92570212023/24</v>
      </c>
      <c r="C139" s="672" t="s">
        <v>312</v>
      </c>
      <c r="D139" s="101" t="s">
        <v>346</v>
      </c>
      <c r="E139" s="37">
        <f>SUM(F139:K139)</f>
        <v>0</v>
      </c>
      <c r="F139" s="670">
        <f>'2324 MFG Protection'!F161</f>
        <v>0</v>
      </c>
      <c r="G139" s="670">
        <f>'2324 MFG Protection'!G161</f>
        <v>0</v>
      </c>
      <c r="H139" s="670">
        <f>'2324 MFG Protection'!H161</f>
        <v>0</v>
      </c>
      <c r="I139" s="670">
        <f>'2324 MFG Protection'!I161</f>
        <v>0</v>
      </c>
      <c r="J139" s="670">
        <f>'2324 MFG Protection'!J161</f>
        <v>0</v>
      </c>
      <c r="K139" s="670">
        <f>'2324 MFG Protection'!K161</f>
        <v>0</v>
      </c>
      <c r="L139" s="37"/>
      <c r="N139" s="7"/>
      <c r="O139" s="140">
        <f>'2324 MFG Protection'!L160</f>
        <v>0</v>
      </c>
      <c r="R139" s="351"/>
    </row>
    <row r="140" spans="1:18" x14ac:dyDescent="0.25">
      <c r="A140" s="74">
        <v>9257021</v>
      </c>
      <c r="B140" t="str">
        <f>CONCATENATE(A140,C140)</f>
        <v>92570212024/25</v>
      </c>
      <c r="C140" s="101" t="s">
        <v>890</v>
      </c>
      <c r="D140" t="str">
        <f>CONCATENATE(A140,C140)</f>
        <v>92570212024/25</v>
      </c>
      <c r="E140" s="37">
        <f>VLOOKUP(A140,'2425 Funding Detail'!$A$4:$M$20,12,(FALSE))</f>
        <v>179.58333333333334</v>
      </c>
      <c r="F140" s="549">
        <f>$E$140*'2425 Band Calculations'!D20</f>
        <v>38.187260536398469</v>
      </c>
      <c r="G140" s="549">
        <f>$E$140*'2425 Band Calculations'!E20</f>
        <v>93.92001915708812</v>
      </c>
      <c r="H140" s="549">
        <f>$E$140*'2425 Band Calculations'!F20</f>
        <v>23.738026819923373</v>
      </c>
      <c r="I140" s="549">
        <f>$E$140*'2425 Band Calculations'!G20</f>
        <v>12.385057471264368</v>
      </c>
      <c r="J140" s="549">
        <f>$E$140*'2425 Band Calculations'!H20</f>
        <v>4.1283524904214559</v>
      </c>
      <c r="K140" s="549">
        <f>$E$140*'2425 Band Calculations'!I20</f>
        <v>5.1604406130268199</v>
      </c>
      <c r="L140" s="169">
        <f>$E$140*'2425 Band Calculations'!J20</f>
        <v>2.064176245210728</v>
      </c>
      <c r="N140" s="7"/>
      <c r="R140" s="351"/>
    </row>
    <row r="141" spans="1:18" x14ac:dyDescent="0.25">
      <c r="A141" s="74">
        <v>9257021</v>
      </c>
      <c r="B141" t="str">
        <f t="shared" ref="B141:B144" si="76">CONCATENATE(A141,C141)</f>
        <v>9257021</v>
      </c>
      <c r="F141" s="170">
        <f t="shared" ref="F141:K141" si="77">F140-F139</f>
        <v>38.187260536398469</v>
      </c>
      <c r="G141" s="170">
        <f t="shared" si="77"/>
        <v>93.92001915708812</v>
      </c>
      <c r="H141" s="170">
        <f t="shared" si="77"/>
        <v>23.738026819923373</v>
      </c>
      <c r="I141" s="170">
        <f t="shared" si="77"/>
        <v>12.385057471264368</v>
      </c>
      <c r="J141" s="170">
        <f t="shared" si="77"/>
        <v>4.1283524904214559</v>
      </c>
      <c r="K141" s="170">
        <f t="shared" si="77"/>
        <v>5.1604406130268199</v>
      </c>
      <c r="R141" s="351"/>
    </row>
    <row r="142" spans="1:18" x14ac:dyDescent="0.25">
      <c r="A142" s="74">
        <v>9257021</v>
      </c>
      <c r="B142" t="str">
        <f t="shared" si="76"/>
        <v>9257021a</v>
      </c>
      <c r="C142" s="101" t="s">
        <v>349</v>
      </c>
      <c r="D142" s="101" t="s">
        <v>346</v>
      </c>
      <c r="F142" s="549">
        <f t="shared" ref="F142:K142" si="78">IF(F139&gt;F140,(F140),(F139))</f>
        <v>0</v>
      </c>
      <c r="G142" s="549">
        <f t="shared" si="78"/>
        <v>0</v>
      </c>
      <c r="H142" s="549">
        <f t="shared" si="78"/>
        <v>0</v>
      </c>
      <c r="I142" s="549">
        <f t="shared" si="78"/>
        <v>0</v>
      </c>
      <c r="J142" s="549">
        <f t="shared" si="78"/>
        <v>0</v>
      </c>
      <c r="K142" s="549">
        <f t="shared" si="78"/>
        <v>0</v>
      </c>
      <c r="L142" s="37"/>
      <c r="M142" s="7"/>
      <c r="O142" s="7"/>
      <c r="P142" s="7"/>
      <c r="R142" s="351"/>
    </row>
    <row r="143" spans="1:18" x14ac:dyDescent="0.25">
      <c r="A143" s="74"/>
      <c r="B143" t="s">
        <v>388</v>
      </c>
      <c r="C143" s="101" t="s">
        <v>312</v>
      </c>
      <c r="D143" s="101" t="s">
        <v>351</v>
      </c>
      <c r="F143" s="664">
        <f>'2324 MFG Protection'!F159</f>
        <v>0</v>
      </c>
      <c r="G143" s="664">
        <f>'2324 MFG Protection'!G159</f>
        <v>0</v>
      </c>
      <c r="H143" s="664">
        <f>'2324 MFG Protection'!H159</f>
        <v>0</v>
      </c>
      <c r="I143" s="664">
        <f>'2324 MFG Protection'!I159</f>
        <v>0</v>
      </c>
      <c r="J143" s="664">
        <f>'2324 MFG Protection'!J159</f>
        <v>0</v>
      </c>
      <c r="K143" s="664">
        <f>'2324 MFG Protection'!K159</f>
        <v>0</v>
      </c>
      <c r="L143" s="37"/>
      <c r="M143" s="7"/>
      <c r="O143" s="7"/>
      <c r="P143" s="7"/>
      <c r="R143" s="351"/>
    </row>
    <row r="144" spans="1:18" x14ac:dyDescent="0.25">
      <c r="A144" s="74">
        <v>9257021</v>
      </c>
      <c r="B144" t="str">
        <f t="shared" si="76"/>
        <v>9257021b</v>
      </c>
      <c r="C144" s="101" t="s">
        <v>353</v>
      </c>
      <c r="D144" s="101" t="s">
        <v>354</v>
      </c>
      <c r="F144" s="671">
        <v>103</v>
      </c>
      <c r="G144" s="671">
        <v>102</v>
      </c>
      <c r="H144" s="671">
        <v>468</v>
      </c>
      <c r="I144" s="671">
        <v>500</v>
      </c>
      <c r="J144" s="671">
        <v>500</v>
      </c>
      <c r="K144" s="671">
        <v>363</v>
      </c>
      <c r="L144" s="37"/>
      <c r="M144" s="7"/>
      <c r="R144" s="351"/>
    </row>
    <row r="145" spans="1:18" x14ac:dyDescent="0.25">
      <c r="A145" s="74"/>
      <c r="B145" t="s">
        <v>389</v>
      </c>
      <c r="C145" s="101" t="s">
        <v>890</v>
      </c>
      <c r="D145" s="101" t="s">
        <v>351</v>
      </c>
      <c r="F145" s="550">
        <f>IF(F143-F144&gt;0,(F143-F144),(0))</f>
        <v>0</v>
      </c>
      <c r="G145" s="550">
        <f t="shared" ref="G145:K145" si="79">IF(G143-G144&gt;0,(G143-G144),(0))</f>
        <v>0</v>
      </c>
      <c r="H145" s="550">
        <f t="shared" si="79"/>
        <v>0</v>
      </c>
      <c r="I145" s="550">
        <f t="shared" si="79"/>
        <v>0</v>
      </c>
      <c r="J145" s="550">
        <f t="shared" si="79"/>
        <v>0</v>
      </c>
      <c r="K145" s="550">
        <f t="shared" si="79"/>
        <v>0</v>
      </c>
      <c r="L145" s="37"/>
      <c r="M145" s="7"/>
      <c r="R145" s="351"/>
    </row>
    <row r="146" spans="1:18" x14ac:dyDescent="0.25">
      <c r="A146" s="74">
        <v>9257021</v>
      </c>
      <c r="B146" t="str">
        <f>CONCATENATE(A146,C146)</f>
        <v>9257021c</v>
      </c>
      <c r="C146" s="101" t="s">
        <v>357</v>
      </c>
      <c r="D146" s="101" t="s">
        <v>217</v>
      </c>
      <c r="F146" s="7">
        <f t="shared" ref="F146:K146" si="80">IF(F145&lt;0,0,(F145*F142))</f>
        <v>0</v>
      </c>
      <c r="G146" s="7">
        <f t="shared" si="80"/>
        <v>0</v>
      </c>
      <c r="H146" s="7">
        <f t="shared" si="80"/>
        <v>0</v>
      </c>
      <c r="I146" s="7">
        <f t="shared" si="80"/>
        <v>0</v>
      </c>
      <c r="J146" s="7">
        <f t="shared" si="80"/>
        <v>0</v>
      </c>
      <c r="K146" s="7">
        <f t="shared" si="80"/>
        <v>0</v>
      </c>
      <c r="L146" s="141">
        <f>SUM(F146:K146)</f>
        <v>0</v>
      </c>
      <c r="M146" s="140">
        <f>L146-O139</f>
        <v>0</v>
      </c>
      <c r="R146" s="351"/>
    </row>
    <row r="147" spans="1:18" x14ac:dyDescent="0.25">
      <c r="A147" s="171"/>
      <c r="B147" s="171" t="s">
        <v>72</v>
      </c>
      <c r="C147" s="171"/>
      <c r="D147" s="171"/>
      <c r="E147" s="172"/>
      <c r="F147" s="173"/>
      <c r="G147" s="173"/>
      <c r="H147" s="173"/>
      <c r="I147" s="173"/>
      <c r="J147" s="173"/>
      <c r="K147" s="173"/>
      <c r="L147" s="173"/>
      <c r="M147" s="173"/>
      <c r="N147" s="172"/>
      <c r="O147" s="172"/>
      <c r="P147" s="172"/>
      <c r="Q147" s="172"/>
    </row>
    <row r="148" spans="1:18" x14ac:dyDescent="0.25">
      <c r="A148" s="74">
        <v>9257015</v>
      </c>
      <c r="B148" t="str">
        <f>CONCATENATE(A148,C148)</f>
        <v>92570152023/24</v>
      </c>
      <c r="C148" s="672" t="s">
        <v>312</v>
      </c>
      <c r="D148" s="101" t="s">
        <v>346</v>
      </c>
      <c r="E148" s="37">
        <f>SUM(F148:K148)</f>
        <v>0</v>
      </c>
      <c r="F148" s="670">
        <f>'2324 MFG Protection'!F171</f>
        <v>0</v>
      </c>
      <c r="G148" s="670">
        <f>'2324 MFG Protection'!G171</f>
        <v>0</v>
      </c>
      <c r="H148" s="670">
        <f>'2324 MFG Protection'!H171</f>
        <v>0</v>
      </c>
      <c r="I148" s="670">
        <f>'2324 MFG Protection'!I171</f>
        <v>0</v>
      </c>
      <c r="J148" s="670">
        <f>'2324 MFG Protection'!J171</f>
        <v>0</v>
      </c>
      <c r="K148" s="670">
        <f>'2324 MFG Protection'!K171</f>
        <v>0</v>
      </c>
      <c r="L148" s="37"/>
      <c r="N148" s="7"/>
      <c r="O148" s="140">
        <f>'2324 MFG Protection'!L170</f>
        <v>0</v>
      </c>
      <c r="R148" s="351"/>
    </row>
    <row r="149" spans="1:18" x14ac:dyDescent="0.25">
      <c r="A149" s="74">
        <v>9257015</v>
      </c>
      <c r="B149" t="str">
        <f>CONCATENATE(A149,C149)</f>
        <v>92570152024/25</v>
      </c>
      <c r="C149" s="101" t="s">
        <v>890</v>
      </c>
      <c r="D149" t="str">
        <f>CONCATENATE(A149,C149)</f>
        <v>92570152024/25</v>
      </c>
      <c r="E149" s="37">
        <f>VLOOKUP(A149,'2425 Funding Detail'!$A$4:$M$20,12,(FALSE))</f>
        <v>295.08333333333337</v>
      </c>
      <c r="F149" s="549">
        <f>$E$149*'2425 Band Calculations'!D21</f>
        <v>64.86745689655173</v>
      </c>
      <c r="G149" s="549">
        <f>$E$149*'2425 Band Calculations'!E21</f>
        <v>132.27873563218392</v>
      </c>
      <c r="H149" s="549">
        <f>$E$149*'2425 Band Calculations'!F21</f>
        <v>3.8157327586206899</v>
      </c>
      <c r="I149" s="549">
        <f>$E$149*'2425 Band Calculations'!G21</f>
        <v>27.982040229885058</v>
      </c>
      <c r="J149" s="549">
        <f>$E$149*'2425 Band Calculations'!H21</f>
        <v>10.17528735632184</v>
      </c>
      <c r="K149" s="549">
        <f>$E$149*'2425 Band Calculations'!I21</f>
        <v>48.332614942528743</v>
      </c>
      <c r="L149" s="169">
        <f>$E$149*'2425 Band Calculations'!J21</f>
        <v>7.6314655172413799</v>
      </c>
      <c r="N149" s="7"/>
      <c r="R149" s="351"/>
    </row>
    <row r="150" spans="1:18" x14ac:dyDescent="0.25">
      <c r="A150" s="74">
        <v>9257015</v>
      </c>
      <c r="B150" t="str">
        <f t="shared" ref="B150:B153" si="81">CONCATENATE(A150,C150)</f>
        <v>9257015</v>
      </c>
      <c r="F150" s="170">
        <f t="shared" ref="F150:K150" si="82">F149-F148</f>
        <v>64.86745689655173</v>
      </c>
      <c r="G150" s="170">
        <f t="shared" si="82"/>
        <v>132.27873563218392</v>
      </c>
      <c r="H150" s="170">
        <f t="shared" si="82"/>
        <v>3.8157327586206899</v>
      </c>
      <c r="I150" s="170">
        <f t="shared" si="82"/>
        <v>27.982040229885058</v>
      </c>
      <c r="J150" s="170">
        <f t="shared" si="82"/>
        <v>10.17528735632184</v>
      </c>
      <c r="K150" s="170">
        <f t="shared" si="82"/>
        <v>48.332614942528743</v>
      </c>
      <c r="L150" s="169"/>
      <c r="R150" s="351"/>
    </row>
    <row r="151" spans="1:18" x14ac:dyDescent="0.25">
      <c r="A151" s="74">
        <v>9257015</v>
      </c>
      <c r="B151" t="str">
        <f t="shared" si="81"/>
        <v>9257015a</v>
      </c>
      <c r="C151" s="101" t="s">
        <v>349</v>
      </c>
      <c r="D151" s="101" t="s">
        <v>346</v>
      </c>
      <c r="F151" s="549">
        <f t="shared" ref="F151:K151" si="83">IF(F148&gt;F149,(F149),(F148))</f>
        <v>0</v>
      </c>
      <c r="G151" s="549">
        <f t="shared" si="83"/>
        <v>0</v>
      </c>
      <c r="H151" s="549">
        <f t="shared" si="83"/>
        <v>0</v>
      </c>
      <c r="I151" s="549">
        <f t="shared" si="83"/>
        <v>0</v>
      </c>
      <c r="J151" s="549">
        <f t="shared" si="83"/>
        <v>0</v>
      </c>
      <c r="K151" s="549">
        <f t="shared" si="83"/>
        <v>0</v>
      </c>
      <c r="L151" s="37"/>
      <c r="M151" s="7"/>
      <c r="O151" s="7"/>
      <c r="P151" s="7"/>
      <c r="R151" s="351"/>
    </row>
    <row r="152" spans="1:18" x14ac:dyDescent="0.25">
      <c r="A152" s="74"/>
      <c r="B152" t="s">
        <v>390</v>
      </c>
      <c r="C152" s="101" t="s">
        <v>312</v>
      </c>
      <c r="D152" s="101" t="s">
        <v>351</v>
      </c>
      <c r="F152" s="664">
        <f>'2324 MFG Protection'!F169</f>
        <v>0</v>
      </c>
      <c r="G152" s="664">
        <f>'2324 MFG Protection'!G169</f>
        <v>0</v>
      </c>
      <c r="H152" s="664">
        <f>'2324 MFG Protection'!H169</f>
        <v>0</v>
      </c>
      <c r="I152" s="664">
        <f>'2324 MFG Protection'!I169</f>
        <v>0</v>
      </c>
      <c r="J152" s="664">
        <f>'2324 MFG Protection'!J169</f>
        <v>0</v>
      </c>
      <c r="K152" s="664">
        <f>'2324 MFG Protection'!K169</f>
        <v>0</v>
      </c>
      <c r="L152" s="37"/>
      <c r="M152" s="7"/>
      <c r="O152" s="7"/>
      <c r="P152" s="7"/>
      <c r="R152" s="351"/>
    </row>
    <row r="153" spans="1:18" x14ac:dyDescent="0.25">
      <c r="A153" s="74">
        <v>9257015</v>
      </c>
      <c r="B153" t="str">
        <f t="shared" si="81"/>
        <v>9257015b</v>
      </c>
      <c r="C153" s="101" t="s">
        <v>353</v>
      </c>
      <c r="D153" s="101" t="s">
        <v>354</v>
      </c>
      <c r="F153" s="671">
        <v>103</v>
      </c>
      <c r="G153" s="671">
        <v>102</v>
      </c>
      <c r="H153" s="671">
        <v>468</v>
      </c>
      <c r="I153" s="671">
        <v>500</v>
      </c>
      <c r="J153" s="671">
        <v>500</v>
      </c>
      <c r="K153" s="671">
        <v>363</v>
      </c>
      <c r="L153" s="37"/>
      <c r="M153" s="7"/>
      <c r="R153" s="351"/>
    </row>
    <row r="154" spans="1:18" x14ac:dyDescent="0.25">
      <c r="A154" s="74"/>
      <c r="B154" t="s">
        <v>391</v>
      </c>
      <c r="C154" s="101" t="s">
        <v>890</v>
      </c>
      <c r="D154" s="101" t="s">
        <v>351</v>
      </c>
      <c r="F154" s="550">
        <f>IF(F152-F153&gt;0,(F152-F153),(0))</f>
        <v>0</v>
      </c>
      <c r="G154" s="550">
        <f t="shared" ref="G154:K154" si="84">IF(G152-G153&gt;0,(G152-G153),(0))</f>
        <v>0</v>
      </c>
      <c r="H154" s="550">
        <f t="shared" si="84"/>
        <v>0</v>
      </c>
      <c r="I154" s="550">
        <f t="shared" si="84"/>
        <v>0</v>
      </c>
      <c r="J154" s="550">
        <f t="shared" si="84"/>
        <v>0</v>
      </c>
      <c r="K154" s="550">
        <f t="shared" si="84"/>
        <v>0</v>
      </c>
      <c r="L154" s="37"/>
      <c r="M154" s="7"/>
      <c r="R154" s="351"/>
    </row>
    <row r="155" spans="1:18" x14ac:dyDescent="0.25">
      <c r="A155" s="74">
        <v>9257015</v>
      </c>
      <c r="B155" t="str">
        <f>CONCATENATE(A155,C155)</f>
        <v>9257015c</v>
      </c>
      <c r="C155" s="101" t="s">
        <v>357</v>
      </c>
      <c r="D155" s="101" t="s">
        <v>217</v>
      </c>
      <c r="F155" s="7">
        <f t="shared" ref="F155:K155" si="85">IF(F154&lt;0,0,(F154*F151))</f>
        <v>0</v>
      </c>
      <c r="G155" s="7">
        <f t="shared" si="85"/>
        <v>0</v>
      </c>
      <c r="H155" s="7">
        <f t="shared" si="85"/>
        <v>0</v>
      </c>
      <c r="I155" s="7">
        <f t="shared" si="85"/>
        <v>0</v>
      </c>
      <c r="J155" s="7">
        <f t="shared" si="85"/>
        <v>0</v>
      </c>
      <c r="K155" s="7">
        <f t="shared" si="85"/>
        <v>0</v>
      </c>
      <c r="L155" s="141">
        <f>SUM(F155:K155)</f>
        <v>0</v>
      </c>
      <c r="M155" s="140">
        <f>L155-O148</f>
        <v>0</v>
      </c>
      <c r="R155" s="351"/>
    </row>
    <row r="156" spans="1:18" x14ac:dyDescent="0.25">
      <c r="A156" s="171"/>
      <c r="B156" s="171" t="s">
        <v>73</v>
      </c>
      <c r="C156" s="171"/>
      <c r="D156" s="171"/>
      <c r="E156" s="172"/>
      <c r="F156" s="173"/>
      <c r="G156" s="173"/>
      <c r="H156" s="173"/>
      <c r="I156" s="173"/>
      <c r="J156" s="173"/>
      <c r="K156" s="173"/>
      <c r="L156" s="173"/>
      <c r="M156" s="173"/>
      <c r="N156" s="172"/>
      <c r="O156" s="172"/>
      <c r="P156" s="172"/>
      <c r="Q156" s="172"/>
    </row>
    <row r="157" spans="1:18" x14ac:dyDescent="0.25">
      <c r="A157" s="74">
        <v>9257016</v>
      </c>
      <c r="B157" t="str">
        <f>CONCATENATE(A157,C157)</f>
        <v>92570162023/24</v>
      </c>
      <c r="C157" s="672" t="s">
        <v>312</v>
      </c>
      <c r="D157" s="101" t="s">
        <v>346</v>
      </c>
      <c r="E157" s="37">
        <f>SUM(F157:K157)</f>
        <v>0</v>
      </c>
      <c r="F157" s="670">
        <f>'2324 MFG Protection'!F181</f>
        <v>0</v>
      </c>
      <c r="G157" s="670">
        <f>'2324 MFG Protection'!G181</f>
        <v>0</v>
      </c>
      <c r="H157" s="670">
        <f>'2324 MFG Protection'!H181</f>
        <v>0</v>
      </c>
      <c r="I157" s="670">
        <f>'2324 MFG Protection'!I181</f>
        <v>0</v>
      </c>
      <c r="J157" s="670">
        <f>'2324 MFG Protection'!J181</f>
        <v>0</v>
      </c>
      <c r="K157" s="670">
        <f>'2324 MFG Protection'!K181</f>
        <v>0</v>
      </c>
      <c r="L157" s="37"/>
      <c r="N157" s="7"/>
      <c r="O157" s="140">
        <f>'2324 MFG Protection'!L180</f>
        <v>0</v>
      </c>
      <c r="R157" s="351"/>
    </row>
    <row r="158" spans="1:18" x14ac:dyDescent="0.25">
      <c r="A158" s="74">
        <v>9257016</v>
      </c>
      <c r="B158" t="str">
        <f>CONCATENATE(A158,C158)</f>
        <v>92570162024/25</v>
      </c>
      <c r="C158" s="101" t="s">
        <v>890</v>
      </c>
      <c r="D158" t="str">
        <f>CONCATENATE(A158,C158)</f>
        <v>92570162024/25</v>
      </c>
      <c r="E158" s="37">
        <f>VLOOKUP(A158,'2425 Funding Detail'!$A$4:$M$20,12,(FALSE))</f>
        <v>164.5</v>
      </c>
      <c r="F158" s="549">
        <f>$E$158*'2425 Band Calculations'!D22</f>
        <v>20.035256410256409</v>
      </c>
      <c r="G158" s="549">
        <f>$E$158*'2425 Band Calculations'!E22</f>
        <v>36.907051282051285</v>
      </c>
      <c r="H158" s="549">
        <f>$E$158*'2425 Band Calculations'!F22</f>
        <v>2.108974358974359</v>
      </c>
      <c r="I158" s="549">
        <f>$E$158*'2425 Band Calculations'!G22</f>
        <v>39.016025641025642</v>
      </c>
      <c r="J158" s="549">
        <f>$E$158*'2425 Band Calculations'!H22</f>
        <v>28.471153846153847</v>
      </c>
      <c r="K158" s="549">
        <f>$E$158*'2425 Band Calculations'!I22</f>
        <v>2.108974358974359</v>
      </c>
      <c r="L158" s="169">
        <f>$E$158*'2425 Band Calculations'!J22</f>
        <v>35.852564102564102</v>
      </c>
      <c r="N158" s="7"/>
      <c r="R158" s="351"/>
    </row>
    <row r="159" spans="1:18" x14ac:dyDescent="0.25">
      <c r="A159" s="74">
        <v>9257016</v>
      </c>
      <c r="B159" t="str">
        <f t="shared" ref="B159:B162" si="86">CONCATENATE(A159,C159)</f>
        <v>9257016</v>
      </c>
      <c r="F159" s="170">
        <f t="shared" ref="F159:K159" si="87">F158-F157</f>
        <v>20.035256410256409</v>
      </c>
      <c r="G159" s="170">
        <f t="shared" si="87"/>
        <v>36.907051282051285</v>
      </c>
      <c r="H159" s="170">
        <f t="shared" si="87"/>
        <v>2.108974358974359</v>
      </c>
      <c r="I159" s="170">
        <f t="shared" si="87"/>
        <v>39.016025641025642</v>
      </c>
      <c r="J159" s="170">
        <f t="shared" si="87"/>
        <v>28.471153846153847</v>
      </c>
      <c r="K159" s="170">
        <f t="shared" si="87"/>
        <v>2.108974358974359</v>
      </c>
      <c r="R159" s="351"/>
    </row>
    <row r="160" spans="1:18" x14ac:dyDescent="0.25">
      <c r="A160" s="74">
        <v>9257016</v>
      </c>
      <c r="B160" t="str">
        <f t="shared" si="86"/>
        <v>9257016a</v>
      </c>
      <c r="C160" s="101" t="s">
        <v>349</v>
      </c>
      <c r="D160" s="101" t="s">
        <v>346</v>
      </c>
      <c r="F160" s="549">
        <f t="shared" ref="F160:K160" si="88">IF(F157&gt;F158,(F158),(F157))</f>
        <v>0</v>
      </c>
      <c r="G160" s="549">
        <f t="shared" si="88"/>
        <v>0</v>
      </c>
      <c r="H160" s="549">
        <f t="shared" si="88"/>
        <v>0</v>
      </c>
      <c r="I160" s="549">
        <f t="shared" si="88"/>
        <v>0</v>
      </c>
      <c r="J160" s="549">
        <f t="shared" si="88"/>
        <v>0</v>
      </c>
      <c r="K160" s="549">
        <f t="shared" si="88"/>
        <v>0</v>
      </c>
      <c r="L160" s="37"/>
      <c r="M160" s="7"/>
      <c r="O160" s="7"/>
      <c r="P160" s="7"/>
      <c r="R160" s="351"/>
    </row>
    <row r="161" spans="1:18" x14ac:dyDescent="0.25">
      <c r="A161" s="74"/>
      <c r="B161" t="s">
        <v>392</v>
      </c>
      <c r="C161" s="101" t="s">
        <v>312</v>
      </c>
      <c r="D161" s="101" t="s">
        <v>351</v>
      </c>
      <c r="F161" s="664">
        <f>'2324 MFG Protection'!F179</f>
        <v>0</v>
      </c>
      <c r="G161" s="664">
        <f>'2324 MFG Protection'!G179</f>
        <v>0</v>
      </c>
      <c r="H161" s="664">
        <f>'2324 MFG Protection'!H179</f>
        <v>0</v>
      </c>
      <c r="I161" s="664">
        <f>'2324 MFG Protection'!I179</f>
        <v>0</v>
      </c>
      <c r="J161" s="664">
        <f>'2324 MFG Protection'!J179</f>
        <v>0</v>
      </c>
      <c r="K161" s="664">
        <f>'2324 MFG Protection'!K179</f>
        <v>0</v>
      </c>
      <c r="L161" s="37"/>
      <c r="M161" s="7"/>
      <c r="O161" s="7"/>
      <c r="P161" s="7"/>
      <c r="R161" s="351"/>
    </row>
    <row r="162" spans="1:18" x14ac:dyDescent="0.25">
      <c r="A162" s="74">
        <v>9257016</v>
      </c>
      <c r="B162" t="str">
        <f t="shared" si="86"/>
        <v>9257016b</v>
      </c>
      <c r="C162" s="101" t="s">
        <v>353</v>
      </c>
      <c r="D162" s="101" t="s">
        <v>354</v>
      </c>
      <c r="F162" s="671">
        <v>103</v>
      </c>
      <c r="G162" s="671">
        <v>102</v>
      </c>
      <c r="H162" s="671">
        <v>468</v>
      </c>
      <c r="I162" s="671">
        <v>500</v>
      </c>
      <c r="J162" s="671">
        <v>500</v>
      </c>
      <c r="K162" s="671">
        <v>363</v>
      </c>
      <c r="L162" s="37"/>
      <c r="M162" s="7"/>
      <c r="R162" s="351"/>
    </row>
    <row r="163" spans="1:18" x14ac:dyDescent="0.25">
      <c r="A163" s="74"/>
      <c r="B163" t="s">
        <v>393</v>
      </c>
      <c r="C163" s="101" t="s">
        <v>890</v>
      </c>
      <c r="D163" s="101" t="s">
        <v>351</v>
      </c>
      <c r="F163" s="550">
        <f>IF(F161-F162&gt;0,(F161-F162),(0))</f>
        <v>0</v>
      </c>
      <c r="G163" s="550">
        <f t="shared" ref="G163:K163" si="89">IF(G161-G162&gt;0,(G161-G162),(0))</f>
        <v>0</v>
      </c>
      <c r="H163" s="550">
        <f t="shared" si="89"/>
        <v>0</v>
      </c>
      <c r="I163" s="550">
        <f t="shared" si="89"/>
        <v>0</v>
      </c>
      <c r="J163" s="550">
        <f t="shared" si="89"/>
        <v>0</v>
      </c>
      <c r="K163" s="550">
        <f t="shared" si="89"/>
        <v>0</v>
      </c>
      <c r="L163" s="37"/>
      <c r="M163" s="7"/>
      <c r="R163" s="351"/>
    </row>
    <row r="164" spans="1:18" x14ac:dyDescent="0.25">
      <c r="A164" s="74">
        <v>9257016</v>
      </c>
      <c r="B164" t="str">
        <f>CONCATENATE(A164,C164)</f>
        <v>9257016c</v>
      </c>
      <c r="C164" s="101" t="s">
        <v>357</v>
      </c>
      <c r="D164" s="101" t="s">
        <v>217</v>
      </c>
      <c r="F164" s="7">
        <f t="shared" ref="F164:K164" si="90">IF(F163&lt;0,0,(F163*F160))</f>
        <v>0</v>
      </c>
      <c r="G164" s="7">
        <f t="shared" si="90"/>
        <v>0</v>
      </c>
      <c r="H164" s="7">
        <f t="shared" si="90"/>
        <v>0</v>
      </c>
      <c r="I164" s="7">
        <f t="shared" si="90"/>
        <v>0</v>
      </c>
      <c r="J164" s="7">
        <f t="shared" si="90"/>
        <v>0</v>
      </c>
      <c r="K164" s="7">
        <f t="shared" si="90"/>
        <v>0</v>
      </c>
      <c r="L164" s="141">
        <f>SUM(F164:K164)</f>
        <v>0</v>
      </c>
      <c r="M164" s="140">
        <f>L164-O157</f>
        <v>0</v>
      </c>
      <c r="R164" s="351"/>
    </row>
    <row r="165" spans="1:18" x14ac:dyDescent="0.25">
      <c r="A165" s="171"/>
      <c r="B165" s="171"/>
      <c r="C165" s="171"/>
      <c r="D165" s="171"/>
      <c r="E165" s="172"/>
      <c r="F165" s="173"/>
      <c r="G165" s="173"/>
      <c r="H165" s="173"/>
      <c r="I165" s="173"/>
      <c r="J165" s="173"/>
      <c r="K165" s="173"/>
      <c r="L165" s="173"/>
      <c r="M165" s="173"/>
      <c r="N165" s="172"/>
      <c r="O165" s="172"/>
      <c r="P165" s="172"/>
      <c r="Q165" s="172"/>
    </row>
    <row r="167" spans="1:18" x14ac:dyDescent="0.25">
      <c r="E167"/>
      <c r="F167"/>
      <c r="G167"/>
      <c r="H167"/>
      <c r="I167" s="230"/>
      <c r="J167" s="109" t="s">
        <v>895</v>
      </c>
      <c r="K167"/>
      <c r="L167" s="141">
        <f>L11+L20+L29+L47+L56+L65+L74+L83+L92+L101+L110+L119+L128+L137+L146+L155+L164</f>
        <v>60487.491487031773</v>
      </c>
      <c r="M167"/>
      <c r="N167"/>
      <c r="O167"/>
      <c r="P167"/>
      <c r="Q167"/>
      <c r="R167"/>
    </row>
    <row r="168" spans="1:18" x14ac:dyDescent="0.25">
      <c r="I168" s="33"/>
    </row>
    <row r="169" spans="1:18" x14ac:dyDescent="0.25">
      <c r="I169" s="230"/>
      <c r="J169" s="109" t="s">
        <v>896</v>
      </c>
      <c r="L169" s="7">
        <f>'2324 MFG Protection'!L184</f>
        <v>91320.990562931634</v>
      </c>
    </row>
    <row r="171" spans="1:18" x14ac:dyDescent="0.25">
      <c r="J171" s="109" t="s">
        <v>396</v>
      </c>
      <c r="L171" s="7">
        <f>L167-L169</f>
        <v>-30833.499075899861</v>
      </c>
      <c r="M171" s="33" t="s">
        <v>1143</v>
      </c>
    </row>
  </sheetData>
  <conditionalFormatting sqref="L171">
    <cfRule type="cellIs" dxfId="0" priority="1" operator="lessThan">
      <formula>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A789-2A78-402C-A1D4-659B6FB21128}">
  <sheetPr>
    <tabColor theme="3" tint="0.79998168889431442"/>
  </sheetPr>
  <dimension ref="B1:V52"/>
  <sheetViews>
    <sheetView topLeftCell="A19" workbookViewId="0">
      <selection activeCell="G54" sqref="G54"/>
    </sheetView>
  </sheetViews>
  <sheetFormatPr defaultRowHeight="12.5" x14ac:dyDescent="0.25"/>
  <cols>
    <col min="3" max="3" width="28.81640625" bestFit="1" customWidth="1"/>
    <col min="4" max="4" width="12.453125" customWidth="1"/>
    <col min="5" max="5" width="13.54296875" customWidth="1"/>
    <col min="6" max="6" width="14.453125" customWidth="1"/>
    <col min="7" max="10" width="14" customWidth="1"/>
    <col min="11" max="11" width="12.26953125" bestFit="1" customWidth="1"/>
    <col min="12" max="13" width="11.81640625" customWidth="1"/>
    <col min="14" max="14" width="28.81640625" bestFit="1" customWidth="1"/>
    <col min="15" max="15" width="11.81640625" style="2" bestFit="1" customWidth="1"/>
    <col min="16" max="16" width="12" style="2" bestFit="1" customWidth="1"/>
    <col min="17" max="17" width="10.7265625" style="2" customWidth="1"/>
    <col min="18" max="18" width="13.26953125" customWidth="1"/>
    <col min="19" max="19" width="28.81640625" bestFit="1" customWidth="1"/>
    <col min="20" max="20" width="10.7265625" customWidth="1"/>
    <col min="21" max="21" width="10" customWidth="1"/>
    <col min="22" max="22" width="11.1796875" customWidth="1"/>
  </cols>
  <sheetData>
    <row r="1" spans="3:22" x14ac:dyDescent="0.25">
      <c r="N1" s="1044" t="s">
        <v>426</v>
      </c>
      <c r="O1" s="1044"/>
      <c r="P1" s="1044"/>
      <c r="Q1" s="1044"/>
    </row>
    <row r="2" spans="3:22" s="707" customFormat="1" ht="58" x14ac:dyDescent="0.35">
      <c r="C2" s="704" t="s">
        <v>49</v>
      </c>
      <c r="D2" s="705" t="s">
        <v>427</v>
      </c>
      <c r="E2" s="705" t="s">
        <v>428</v>
      </c>
      <c r="F2" s="705" t="s">
        <v>429</v>
      </c>
      <c r="G2" s="705" t="s">
        <v>430</v>
      </c>
      <c r="H2" s="705" t="s">
        <v>431</v>
      </c>
      <c r="I2" s="705" t="s">
        <v>432</v>
      </c>
      <c r="J2" s="705" t="s">
        <v>433</v>
      </c>
      <c r="K2" s="705" t="s">
        <v>434</v>
      </c>
      <c r="L2" s="706">
        <v>3.4000000000000002E-2</v>
      </c>
      <c r="N2" s="704" t="s">
        <v>49</v>
      </c>
      <c r="O2" s="705" t="s">
        <v>428</v>
      </c>
      <c r="P2" s="708" t="s">
        <v>429</v>
      </c>
      <c r="Q2" s="709" t="s">
        <v>435</v>
      </c>
      <c r="S2" s="710" t="s">
        <v>49</v>
      </c>
      <c r="T2" s="711" t="s">
        <v>436</v>
      </c>
      <c r="U2" s="711" t="s">
        <v>437</v>
      </c>
      <c r="V2" s="711" t="s">
        <v>438</v>
      </c>
    </row>
    <row r="3" spans="3:22" ht="14.5" x14ac:dyDescent="0.35">
      <c r="C3" s="712" t="s">
        <v>439</v>
      </c>
      <c r="D3" s="713">
        <v>126</v>
      </c>
      <c r="E3" s="8">
        <f t="shared" ref="E3:E19" si="0">+D3*10000</f>
        <v>1260000</v>
      </c>
      <c r="F3" s="8">
        <f>P3</f>
        <v>906127.43040856393</v>
      </c>
      <c r="G3" s="8">
        <f>V3</f>
        <v>60108.768969808189</v>
      </c>
      <c r="H3" s="8">
        <f t="shared" ref="H3:H19" si="1">SUM(F3:G3)</f>
        <v>966236.19937837217</v>
      </c>
      <c r="I3" s="8">
        <f>+H3/Q3</f>
        <v>8377.770514841377</v>
      </c>
      <c r="J3" s="8">
        <f t="shared" ref="J3:J19" si="2">+I3*D3</f>
        <v>1055599.0848700134</v>
      </c>
      <c r="K3" s="8">
        <f t="shared" ref="K3:K19" si="3">+J3+E3</f>
        <v>2315599.0848700134</v>
      </c>
      <c r="L3" s="8">
        <f t="shared" ref="L3:L19" si="4">+K3*3.4%</f>
        <v>78730.368885580465</v>
      </c>
      <c r="N3" s="67" t="s">
        <v>333</v>
      </c>
      <c r="O3" s="8">
        <v>1153333.3333333333</v>
      </c>
      <c r="P3" s="714">
        <v>906127.43040856393</v>
      </c>
      <c r="Q3" s="713">
        <v>115.33333333333333</v>
      </c>
      <c r="R3" s="715"/>
      <c r="S3" s="68" t="s">
        <v>333</v>
      </c>
      <c r="T3" s="716">
        <v>61714.047666331258</v>
      </c>
      <c r="U3" s="717">
        <v>1605.2786965230664</v>
      </c>
      <c r="V3" s="717">
        <f t="shared" ref="V3:V25" si="5">T3-U3</f>
        <v>60108.768969808189</v>
      </c>
    </row>
    <row r="4" spans="3:22" ht="14.5" x14ac:dyDescent="0.35">
      <c r="C4" s="718" t="s">
        <v>259</v>
      </c>
      <c r="D4" s="713">
        <v>90</v>
      </c>
      <c r="E4" s="8">
        <f t="shared" si="0"/>
        <v>900000</v>
      </c>
      <c r="F4" s="8">
        <f>P4</f>
        <v>782784.52055189444</v>
      </c>
      <c r="G4" s="8">
        <f>V4</f>
        <v>47798.131374228775</v>
      </c>
      <c r="H4" s="8">
        <f t="shared" si="1"/>
        <v>830582.65192612319</v>
      </c>
      <c r="I4" s="8">
        <f>+H4/Q4</f>
        <v>9376.285816663667</v>
      </c>
      <c r="J4" s="8">
        <f t="shared" si="2"/>
        <v>843865.72349973</v>
      </c>
      <c r="K4" s="8">
        <f t="shared" si="3"/>
        <v>1743865.72349973</v>
      </c>
      <c r="L4" s="8">
        <f t="shared" si="4"/>
        <v>59291.434598990825</v>
      </c>
      <c r="N4" s="67" t="s">
        <v>259</v>
      </c>
      <c r="O4" s="8">
        <v>885833.33333333337</v>
      </c>
      <c r="P4" s="714">
        <v>782784.52055189444</v>
      </c>
      <c r="Q4" s="713">
        <v>88.583333333333343</v>
      </c>
      <c r="R4" s="719"/>
      <c r="S4" s="68" t="s">
        <v>259</v>
      </c>
      <c r="T4" s="716">
        <v>50058.53561655683</v>
      </c>
      <c r="U4" s="717">
        <v>2260.4042423280575</v>
      </c>
      <c r="V4" s="717">
        <f t="shared" si="5"/>
        <v>47798.131374228775</v>
      </c>
    </row>
    <row r="5" spans="3:22" ht="14.5" x14ac:dyDescent="0.35">
      <c r="C5" s="718" t="s">
        <v>260</v>
      </c>
      <c r="D5" s="713">
        <v>89</v>
      </c>
      <c r="E5" s="8">
        <f t="shared" si="0"/>
        <v>890000</v>
      </c>
      <c r="F5" s="8">
        <f>P5</f>
        <v>616293.34814622696</v>
      </c>
      <c r="G5" s="8">
        <f>V5</f>
        <v>42008.458118403309</v>
      </c>
      <c r="H5" s="8">
        <f t="shared" si="1"/>
        <v>658301.80626463029</v>
      </c>
      <c r="I5" s="8">
        <f>+H5/Q5</f>
        <v>7798.2444967182264</v>
      </c>
      <c r="J5" s="8">
        <f t="shared" si="2"/>
        <v>694043.7602079222</v>
      </c>
      <c r="K5" s="8">
        <f t="shared" si="3"/>
        <v>1584043.7602079222</v>
      </c>
      <c r="L5" s="8">
        <f t="shared" si="4"/>
        <v>53857.487847069358</v>
      </c>
      <c r="N5" s="67" t="s">
        <v>260</v>
      </c>
      <c r="O5" s="8">
        <v>844166.66666666674</v>
      </c>
      <c r="P5" s="714">
        <v>616293.34814622696</v>
      </c>
      <c r="Q5" s="713">
        <v>84.416666666666671</v>
      </c>
      <c r="R5" s="715"/>
      <c r="S5" s="68" t="s">
        <v>260</v>
      </c>
      <c r="T5" s="716">
        <v>43556.364456440686</v>
      </c>
      <c r="U5" s="717">
        <v>1547.9063380373802</v>
      </c>
      <c r="V5" s="717">
        <f t="shared" si="5"/>
        <v>42008.458118403309</v>
      </c>
    </row>
    <row r="6" spans="3:22" ht="14.5" x14ac:dyDescent="0.35">
      <c r="C6" s="718" t="s">
        <v>261</v>
      </c>
      <c r="D6" s="713">
        <v>88</v>
      </c>
      <c r="E6" s="8">
        <f t="shared" si="0"/>
        <v>880000</v>
      </c>
      <c r="F6" s="8">
        <f t="shared" ref="F6:F11" si="6">P7</f>
        <v>645024.83394405304</v>
      </c>
      <c r="G6" s="8">
        <f t="shared" ref="G6:G11" si="7">V7</f>
        <v>44464.339376740681</v>
      </c>
      <c r="H6" s="8">
        <f t="shared" si="1"/>
        <v>689489.17332079378</v>
      </c>
      <c r="I6" s="8">
        <f t="shared" ref="I6:I11" si="8">+H6/Q7</f>
        <v>7986.3610809358343</v>
      </c>
      <c r="J6" s="8">
        <f t="shared" si="2"/>
        <v>702799.77512235346</v>
      </c>
      <c r="K6" s="8">
        <f t="shared" si="3"/>
        <v>1582799.7751223533</v>
      </c>
      <c r="L6" s="8">
        <f t="shared" si="4"/>
        <v>53815.192354160019</v>
      </c>
      <c r="N6" s="720" t="s">
        <v>65</v>
      </c>
      <c r="O6" s="721">
        <v>611666.66666666674</v>
      </c>
      <c r="P6" s="722">
        <v>708444.52448002994</v>
      </c>
      <c r="Q6" s="723">
        <v>61.166666666666671</v>
      </c>
      <c r="R6" s="719"/>
      <c r="S6" s="68" t="s">
        <v>65</v>
      </c>
      <c r="T6" s="716">
        <v>39603.335734400898</v>
      </c>
      <c r="U6" s="717">
        <v>3237.3298965450335</v>
      </c>
      <c r="V6" s="717">
        <f t="shared" si="5"/>
        <v>36366.005837855868</v>
      </c>
    </row>
    <row r="7" spans="3:22" ht="14.5" x14ac:dyDescent="0.35">
      <c r="C7" s="718" t="s">
        <v>169</v>
      </c>
      <c r="D7" s="713">
        <v>80</v>
      </c>
      <c r="E7" s="8">
        <f t="shared" si="0"/>
        <v>800000</v>
      </c>
      <c r="F7" s="8">
        <f t="shared" si="6"/>
        <v>920969.4617848706</v>
      </c>
      <c r="G7" s="8">
        <f t="shared" si="7"/>
        <v>52023.215273296963</v>
      </c>
      <c r="H7" s="8">
        <f t="shared" si="1"/>
        <v>972992.67705816752</v>
      </c>
      <c r="I7" s="8">
        <f t="shared" si="8"/>
        <v>12099.390802795864</v>
      </c>
      <c r="J7" s="8">
        <f t="shared" si="2"/>
        <v>967951.26422366919</v>
      </c>
      <c r="K7" s="8">
        <f t="shared" si="3"/>
        <v>1767951.2642236692</v>
      </c>
      <c r="L7" s="8">
        <f t="shared" si="4"/>
        <v>60110.342983604758</v>
      </c>
      <c r="N7" s="67" t="s">
        <v>261</v>
      </c>
      <c r="O7" s="8">
        <v>863333.33333333337</v>
      </c>
      <c r="P7" s="714">
        <v>645024.83394405304</v>
      </c>
      <c r="Q7" s="713">
        <v>86.333333333333343</v>
      </c>
      <c r="R7" s="719"/>
      <c r="S7" s="68" t="s">
        <v>261</v>
      </c>
      <c r="T7" s="716">
        <v>44985.405853811862</v>
      </c>
      <c r="U7" s="717">
        <v>521.06647707117941</v>
      </c>
      <c r="V7" s="717">
        <f t="shared" si="5"/>
        <v>44464.339376740681</v>
      </c>
    </row>
    <row r="8" spans="3:22" ht="14.5" x14ac:dyDescent="0.35">
      <c r="C8" s="718" t="s">
        <v>269</v>
      </c>
      <c r="D8" s="713">
        <v>112</v>
      </c>
      <c r="E8" s="8">
        <f t="shared" si="0"/>
        <v>1120000</v>
      </c>
      <c r="F8" s="8">
        <f t="shared" si="6"/>
        <v>461109.21317218104</v>
      </c>
      <c r="G8" s="8">
        <f t="shared" si="7"/>
        <v>43962.085447780861</v>
      </c>
      <c r="H8" s="8">
        <f t="shared" si="1"/>
        <v>505071.29861996189</v>
      </c>
      <c r="I8" s="8">
        <f t="shared" si="8"/>
        <v>4757.3434720875521</v>
      </c>
      <c r="J8" s="8">
        <f t="shared" si="2"/>
        <v>532822.46887380583</v>
      </c>
      <c r="K8" s="8">
        <f t="shared" si="3"/>
        <v>1652822.4688738058</v>
      </c>
      <c r="L8" s="8">
        <f t="shared" si="4"/>
        <v>56195.9639417094</v>
      </c>
      <c r="N8" s="13" t="s">
        <v>169</v>
      </c>
      <c r="O8" s="8">
        <v>804166.66666666674</v>
      </c>
      <c r="P8" s="714">
        <v>920969.4617848706</v>
      </c>
      <c r="Q8" s="713">
        <v>80.416666666666671</v>
      </c>
      <c r="R8" s="719"/>
      <c r="S8" s="724" t="s">
        <v>169</v>
      </c>
      <c r="T8" s="716">
        <v>57770.313853546118</v>
      </c>
      <c r="U8" s="717">
        <v>5747.0985802491568</v>
      </c>
      <c r="V8" s="717">
        <f t="shared" si="5"/>
        <v>52023.215273296963</v>
      </c>
    </row>
    <row r="9" spans="3:22" ht="14.5" x14ac:dyDescent="0.35">
      <c r="C9" s="718" t="s">
        <v>126</v>
      </c>
      <c r="D9" s="713">
        <v>101</v>
      </c>
      <c r="E9" s="8">
        <f t="shared" si="0"/>
        <v>1010000</v>
      </c>
      <c r="F9" s="8">
        <f t="shared" si="6"/>
        <v>467888.47584672458</v>
      </c>
      <c r="G9" s="8">
        <f t="shared" si="7"/>
        <v>43646.521287627344</v>
      </c>
      <c r="H9" s="8">
        <f t="shared" si="1"/>
        <v>511534.99713435193</v>
      </c>
      <c r="I9" s="8">
        <f t="shared" si="8"/>
        <v>5106.8385737206509</v>
      </c>
      <c r="J9" s="8">
        <f t="shared" si="2"/>
        <v>515790.69594578573</v>
      </c>
      <c r="K9" s="8">
        <f t="shared" si="3"/>
        <v>1525790.6959457858</v>
      </c>
      <c r="L9" s="8">
        <f t="shared" si="4"/>
        <v>51876.883662156724</v>
      </c>
      <c r="N9" s="67" t="s">
        <v>269</v>
      </c>
      <c r="O9" s="8">
        <v>1061666.6666666667</v>
      </c>
      <c r="P9" s="714">
        <v>461109.21317218104</v>
      </c>
      <c r="Q9" s="713">
        <v>106.16666666666669</v>
      </c>
      <c r="R9" s="719"/>
      <c r="S9" s="68" t="s">
        <v>269</v>
      </c>
      <c r="T9" s="716">
        <v>45683.276395165434</v>
      </c>
      <c r="U9" s="717">
        <v>1721.1909473845701</v>
      </c>
      <c r="V9" s="717">
        <f t="shared" si="5"/>
        <v>43962.085447780861</v>
      </c>
    </row>
    <row r="10" spans="3:22" ht="14.5" x14ac:dyDescent="0.35">
      <c r="C10" s="718" t="s">
        <v>270</v>
      </c>
      <c r="D10" s="713">
        <v>124</v>
      </c>
      <c r="E10" s="8">
        <f t="shared" si="0"/>
        <v>1240000</v>
      </c>
      <c r="F10" s="8">
        <f t="shared" si="6"/>
        <v>484497.03719841107</v>
      </c>
      <c r="G10" s="8">
        <f t="shared" si="7"/>
        <v>43594.581115524605</v>
      </c>
      <c r="H10" s="8">
        <f t="shared" si="1"/>
        <v>528091.6183139357</v>
      </c>
      <c r="I10" s="8">
        <f t="shared" si="8"/>
        <v>4322.7144746024751</v>
      </c>
      <c r="J10" s="8">
        <f t="shared" si="2"/>
        <v>536016.59485070687</v>
      </c>
      <c r="K10" s="8">
        <f t="shared" si="3"/>
        <v>1776016.5948507069</v>
      </c>
      <c r="L10" s="8">
        <f t="shared" si="4"/>
        <v>60384.564224924041</v>
      </c>
      <c r="N10" s="67" t="s">
        <v>126</v>
      </c>
      <c r="O10" s="8">
        <v>1001666.6666666667</v>
      </c>
      <c r="P10" s="714">
        <v>467888.47584672458</v>
      </c>
      <c r="Q10" s="713">
        <v>100.16666666666667</v>
      </c>
      <c r="R10" s="719"/>
      <c r="S10" s="68" t="s">
        <v>126</v>
      </c>
      <c r="T10" s="716">
        <v>44086.654275401736</v>
      </c>
      <c r="U10" s="717">
        <v>440.13298777439314</v>
      </c>
      <c r="V10" s="717">
        <f t="shared" si="5"/>
        <v>43646.521287627344</v>
      </c>
    </row>
    <row r="11" spans="3:22" ht="14.5" x14ac:dyDescent="0.35">
      <c r="C11" s="718" t="s">
        <v>262</v>
      </c>
      <c r="D11" s="713">
        <v>159</v>
      </c>
      <c r="E11" s="8">
        <f t="shared" si="0"/>
        <v>1590000</v>
      </c>
      <c r="F11" s="8">
        <f t="shared" si="6"/>
        <v>534980.78324114066</v>
      </c>
      <c r="G11" s="8">
        <f t="shared" si="7"/>
        <v>58718.411281137822</v>
      </c>
      <c r="H11" s="8">
        <f t="shared" si="1"/>
        <v>593699.1945222785</v>
      </c>
      <c r="I11" s="8">
        <f t="shared" si="8"/>
        <v>3813.9134551752363</v>
      </c>
      <c r="J11" s="8">
        <f t="shared" si="2"/>
        <v>606412.23937286262</v>
      </c>
      <c r="K11" s="8">
        <f t="shared" si="3"/>
        <v>2196412.2393728625</v>
      </c>
      <c r="L11" s="8">
        <f t="shared" si="4"/>
        <v>74678.016138677325</v>
      </c>
      <c r="N11" s="67" t="s">
        <v>270</v>
      </c>
      <c r="O11" s="8">
        <v>1221666.6666666667</v>
      </c>
      <c r="P11" s="714">
        <v>484497.03719841107</v>
      </c>
      <c r="Q11" s="713">
        <v>122.16666666666667</v>
      </c>
      <c r="R11" s="719"/>
      <c r="S11" s="68" t="s">
        <v>270</v>
      </c>
      <c r="T11" s="716">
        <v>50164.565082699439</v>
      </c>
      <c r="U11" s="717">
        <v>6569.9839671748314</v>
      </c>
      <c r="V11" s="717">
        <f t="shared" si="5"/>
        <v>43594.581115524605</v>
      </c>
    </row>
    <row r="12" spans="3:22" ht="14.5" x14ac:dyDescent="0.35">
      <c r="C12" s="718" t="s">
        <v>334</v>
      </c>
      <c r="D12" s="713">
        <v>202</v>
      </c>
      <c r="E12" s="8">
        <f t="shared" si="0"/>
        <v>2020000</v>
      </c>
      <c r="F12" s="725">
        <f>P6+P13</f>
        <v>1205281.7917231559</v>
      </c>
      <c r="G12" s="8">
        <f>V6+V13</f>
        <v>87148.384877222183</v>
      </c>
      <c r="H12" s="8">
        <f t="shared" si="1"/>
        <v>1292430.176600378</v>
      </c>
      <c r="I12" s="8">
        <f>+H12/(Q6+Q13)</f>
        <v>6497.344834187069</v>
      </c>
      <c r="J12" s="8">
        <f t="shared" si="2"/>
        <v>1312463.656505788</v>
      </c>
      <c r="K12" s="8">
        <f t="shared" si="3"/>
        <v>3332463.6565057877</v>
      </c>
      <c r="L12" s="8">
        <f t="shared" si="4"/>
        <v>113303.7643211968</v>
      </c>
      <c r="N12" s="67" t="s">
        <v>262</v>
      </c>
      <c r="O12" s="8">
        <v>1556666.6666666667</v>
      </c>
      <c r="P12" s="714">
        <v>534980.78324114066</v>
      </c>
      <c r="Q12" s="713">
        <v>155.66666666666669</v>
      </c>
      <c r="R12" s="719"/>
      <c r="S12" s="68" t="s">
        <v>262</v>
      </c>
      <c r="T12" s="716">
        <v>62749.423497234224</v>
      </c>
      <c r="U12" s="717">
        <v>4031.0122160964006</v>
      </c>
      <c r="V12" s="717">
        <f t="shared" si="5"/>
        <v>58718.411281137822</v>
      </c>
    </row>
    <row r="13" spans="3:22" ht="14.5" x14ac:dyDescent="0.35">
      <c r="C13" s="718" t="s">
        <v>278</v>
      </c>
      <c r="D13" s="713">
        <v>79</v>
      </c>
      <c r="E13" s="8">
        <f t="shared" si="0"/>
        <v>790000</v>
      </c>
      <c r="F13" s="8">
        <f t="shared" ref="F13:F19" si="9">P14</f>
        <v>888627.89187889441</v>
      </c>
      <c r="G13" s="8">
        <f t="shared" ref="G13:G19" si="10">V14</f>
        <v>57248.980020255687</v>
      </c>
      <c r="H13" s="8">
        <f t="shared" si="1"/>
        <v>945876.87189915008</v>
      </c>
      <c r="I13" s="8">
        <f t="shared" ref="I13:I19" si="11">+H13/Q14</f>
        <v>12036.609186415482</v>
      </c>
      <c r="J13" s="8">
        <f t="shared" si="2"/>
        <v>950892.12572682311</v>
      </c>
      <c r="K13" s="8">
        <f t="shared" si="3"/>
        <v>1740892.1257268232</v>
      </c>
      <c r="L13" s="8">
        <f t="shared" si="4"/>
        <v>59190.332274711996</v>
      </c>
      <c r="N13" s="67" t="s">
        <v>160</v>
      </c>
      <c r="O13" s="8">
        <v>1377500</v>
      </c>
      <c r="P13" s="714">
        <v>496837.26724312594</v>
      </c>
      <c r="Q13" s="713">
        <v>137.75</v>
      </c>
      <c r="R13" s="719"/>
      <c r="S13" s="68" t="s">
        <v>160</v>
      </c>
      <c r="T13" s="716">
        <v>55189.528305110151</v>
      </c>
      <c r="U13" s="717">
        <v>4407.1492657438303</v>
      </c>
      <c r="V13" s="717">
        <f t="shared" si="5"/>
        <v>50782.379039366322</v>
      </c>
    </row>
    <row r="14" spans="3:22" ht="14.5" x14ac:dyDescent="0.35">
      <c r="C14" s="718" t="s">
        <v>266</v>
      </c>
      <c r="D14" s="713">
        <v>104</v>
      </c>
      <c r="E14" s="8">
        <f t="shared" si="0"/>
        <v>1040000</v>
      </c>
      <c r="F14" s="8">
        <f t="shared" si="9"/>
        <v>1025619.1564844754</v>
      </c>
      <c r="G14" s="8">
        <f t="shared" si="10"/>
        <v>69731.662840094461</v>
      </c>
      <c r="H14" s="8">
        <f t="shared" si="1"/>
        <v>1095350.8193245698</v>
      </c>
      <c r="I14" s="8">
        <f t="shared" si="11"/>
        <v>10532.219416582402</v>
      </c>
      <c r="J14" s="8">
        <f t="shared" si="2"/>
        <v>1095350.8193245698</v>
      </c>
      <c r="K14" s="8">
        <f t="shared" si="3"/>
        <v>2135350.8193245698</v>
      </c>
      <c r="L14" s="8">
        <f t="shared" si="4"/>
        <v>72601.927857035378</v>
      </c>
      <c r="N14" s="13" t="s">
        <v>278</v>
      </c>
      <c r="O14" s="8">
        <v>785833.33333333337</v>
      </c>
      <c r="P14" s="714">
        <v>888627.89187889441</v>
      </c>
      <c r="Q14" s="713">
        <v>78.583333333333343</v>
      </c>
      <c r="R14" s="719"/>
      <c r="S14" s="724" t="s">
        <v>278</v>
      </c>
      <c r="T14" s="716">
        <v>58744.056756366823</v>
      </c>
      <c r="U14" s="717">
        <v>1495.0767361111384</v>
      </c>
      <c r="V14" s="717">
        <f t="shared" si="5"/>
        <v>57248.980020255687</v>
      </c>
    </row>
    <row r="15" spans="3:22" ht="14.5" x14ac:dyDescent="0.35">
      <c r="C15" s="718" t="s">
        <v>268</v>
      </c>
      <c r="D15" s="713">
        <v>70</v>
      </c>
      <c r="E15" s="8">
        <f t="shared" si="0"/>
        <v>700000</v>
      </c>
      <c r="F15" s="8">
        <f t="shared" si="9"/>
        <v>853316.79185140773</v>
      </c>
      <c r="G15" s="8">
        <f t="shared" si="10"/>
        <v>52082.575981598558</v>
      </c>
      <c r="H15" s="8">
        <f t="shared" si="1"/>
        <v>905399.36783300631</v>
      </c>
      <c r="I15" s="8">
        <f t="shared" si="11"/>
        <v>12782.108722348323</v>
      </c>
      <c r="J15" s="8">
        <f t="shared" si="2"/>
        <v>894747.61056438263</v>
      </c>
      <c r="K15" s="8">
        <f t="shared" si="3"/>
        <v>1594747.6105643827</v>
      </c>
      <c r="L15" s="8">
        <f t="shared" si="4"/>
        <v>54221.418759189015</v>
      </c>
      <c r="N15" s="13" t="s">
        <v>266</v>
      </c>
      <c r="O15" s="8">
        <v>1040000</v>
      </c>
      <c r="P15" s="714">
        <v>1025619.1564844754</v>
      </c>
      <c r="Q15" s="713">
        <v>104</v>
      </c>
      <c r="R15" s="719"/>
      <c r="S15" s="724" t="s">
        <v>266</v>
      </c>
      <c r="T15" s="716">
        <v>74763.844694534258</v>
      </c>
      <c r="U15" s="717">
        <v>5032.1818544397966</v>
      </c>
      <c r="V15" s="717">
        <f t="shared" si="5"/>
        <v>69731.662840094461</v>
      </c>
    </row>
    <row r="16" spans="3:22" ht="14.5" x14ac:dyDescent="0.35">
      <c r="C16" s="718" t="s">
        <v>70</v>
      </c>
      <c r="D16" s="713">
        <v>135</v>
      </c>
      <c r="E16" s="8">
        <f t="shared" si="0"/>
        <v>1350000</v>
      </c>
      <c r="F16" s="8">
        <f t="shared" si="9"/>
        <v>944486.86598736909</v>
      </c>
      <c r="G16" s="8">
        <f t="shared" si="10"/>
        <v>62128.622838149277</v>
      </c>
      <c r="H16" s="8">
        <f t="shared" si="1"/>
        <v>1006615.4888255184</v>
      </c>
      <c r="I16" s="8">
        <f t="shared" si="11"/>
        <v>7748.1628389392044</v>
      </c>
      <c r="J16" s="8">
        <f t="shared" si="2"/>
        <v>1046001.9832567926</v>
      </c>
      <c r="K16" s="8">
        <f t="shared" si="3"/>
        <v>2396001.9832567926</v>
      </c>
      <c r="L16" s="8">
        <f t="shared" si="4"/>
        <v>81464.067430730953</v>
      </c>
      <c r="N16" s="13" t="s">
        <v>268</v>
      </c>
      <c r="O16" s="8">
        <v>708333.33333333337</v>
      </c>
      <c r="P16" s="714">
        <v>853316.79185140773</v>
      </c>
      <c r="Q16" s="713">
        <v>70.833333333333343</v>
      </c>
      <c r="R16" s="719"/>
      <c r="S16" s="724" t="s">
        <v>268</v>
      </c>
      <c r="T16" s="716">
        <v>56038.214663745282</v>
      </c>
      <c r="U16" s="717">
        <v>3955.6386821467263</v>
      </c>
      <c r="V16" s="717">
        <f t="shared" si="5"/>
        <v>52082.575981598558</v>
      </c>
    </row>
    <row r="17" spans="2:22" ht="14.5" x14ac:dyDescent="0.35">
      <c r="C17" s="718" t="s">
        <v>263</v>
      </c>
      <c r="D17" s="713">
        <v>178</v>
      </c>
      <c r="E17" s="8">
        <f t="shared" si="0"/>
        <v>1780000</v>
      </c>
      <c r="F17" s="8">
        <f>P18</f>
        <v>600502.84805452451</v>
      </c>
      <c r="G17" s="8">
        <f>V18</f>
        <v>67466.380431067868</v>
      </c>
      <c r="H17" s="8">
        <f t="shared" si="1"/>
        <v>667969.22848559241</v>
      </c>
      <c r="I17" s="8">
        <f>+H17/Q18</f>
        <v>3833.395859314734</v>
      </c>
      <c r="J17" s="8">
        <f t="shared" si="2"/>
        <v>682344.4629580226</v>
      </c>
      <c r="K17" s="8">
        <f t="shared" si="3"/>
        <v>2462344.4629580225</v>
      </c>
      <c r="L17" s="8">
        <f t="shared" si="4"/>
        <v>83719.711740572777</v>
      </c>
      <c r="N17" s="67" t="s">
        <v>70</v>
      </c>
      <c r="O17" s="8">
        <v>1299166.6666666667</v>
      </c>
      <c r="P17" s="714">
        <v>944486.86598736909</v>
      </c>
      <c r="Q17" s="713">
        <v>129.91666666666669</v>
      </c>
      <c r="R17" s="719"/>
      <c r="S17" s="68" t="s">
        <v>70</v>
      </c>
      <c r="T17" s="716">
        <v>67309.605979621076</v>
      </c>
      <c r="U17" s="717">
        <v>5180.9831414718019</v>
      </c>
      <c r="V17" s="717">
        <f t="shared" si="5"/>
        <v>62128.622838149277</v>
      </c>
    </row>
    <row r="18" spans="2:22" ht="14.5" x14ac:dyDescent="0.35">
      <c r="C18" s="718" t="s">
        <v>72</v>
      </c>
      <c r="D18" s="713">
        <v>225</v>
      </c>
      <c r="E18" s="8">
        <f t="shared" si="0"/>
        <v>2250000</v>
      </c>
      <c r="F18" s="8">
        <f t="shared" si="9"/>
        <v>742764.87288844166</v>
      </c>
      <c r="G18" s="8">
        <f t="shared" si="10"/>
        <v>90232.946186653251</v>
      </c>
      <c r="H18" s="8">
        <f t="shared" si="1"/>
        <v>832997.81907509489</v>
      </c>
      <c r="I18" s="8">
        <f t="shared" si="11"/>
        <v>3677.6945654529577</v>
      </c>
      <c r="J18" s="8">
        <f t="shared" si="2"/>
        <v>827481.27722691547</v>
      </c>
      <c r="K18" s="8">
        <f t="shared" si="3"/>
        <v>3077481.2772269156</v>
      </c>
      <c r="L18" s="8">
        <f t="shared" si="4"/>
        <v>104634.36342571514</v>
      </c>
      <c r="N18" s="67" t="s">
        <v>263</v>
      </c>
      <c r="O18" s="8">
        <v>1742500</v>
      </c>
      <c r="P18" s="714">
        <v>600502.84805452451</v>
      </c>
      <c r="Q18" s="713">
        <v>174.25</v>
      </c>
      <c r="R18" s="719"/>
      <c r="S18" s="68" t="s">
        <v>263</v>
      </c>
      <c r="T18" s="716">
        <v>70290.085441635732</v>
      </c>
      <c r="U18" s="717">
        <v>2823.7050105678609</v>
      </c>
      <c r="V18" s="717">
        <f t="shared" si="5"/>
        <v>67466.380431067868</v>
      </c>
    </row>
    <row r="19" spans="2:22" ht="14.5" x14ac:dyDescent="0.35">
      <c r="C19" s="718" t="s">
        <v>73</v>
      </c>
      <c r="D19" s="713">
        <v>166</v>
      </c>
      <c r="E19" s="8">
        <f t="shared" si="0"/>
        <v>1660000</v>
      </c>
      <c r="F19" s="8">
        <f t="shared" si="9"/>
        <v>1487641.8040477117</v>
      </c>
      <c r="G19" s="8">
        <f t="shared" si="10"/>
        <v>92341.581815730024</v>
      </c>
      <c r="H19" s="8">
        <f t="shared" si="1"/>
        <v>1579983.3858634417</v>
      </c>
      <c r="I19" s="8">
        <f t="shared" si="11"/>
        <v>9590.1874710982811</v>
      </c>
      <c r="J19" s="8">
        <f t="shared" si="2"/>
        <v>1591971.1202023146</v>
      </c>
      <c r="K19" s="8">
        <f t="shared" si="3"/>
        <v>3251971.1202023146</v>
      </c>
      <c r="L19" s="8">
        <f t="shared" si="4"/>
        <v>110567.0180868787</v>
      </c>
      <c r="N19" s="67" t="s">
        <v>72</v>
      </c>
      <c r="O19" s="8">
        <v>2265000</v>
      </c>
      <c r="P19" s="714">
        <v>742764.87288844166</v>
      </c>
      <c r="Q19" s="713">
        <v>226.5</v>
      </c>
      <c r="R19" s="719"/>
      <c r="S19" s="68" t="s">
        <v>72</v>
      </c>
      <c r="T19" s="716">
        <v>90232.946186653251</v>
      </c>
      <c r="U19" s="717">
        <v>0</v>
      </c>
      <c r="V19" s="717">
        <f t="shared" si="5"/>
        <v>90232.946186653251</v>
      </c>
    </row>
    <row r="20" spans="2:22" ht="14.5" x14ac:dyDescent="0.35">
      <c r="N20" s="67" t="s">
        <v>73</v>
      </c>
      <c r="O20" s="8">
        <v>1647500</v>
      </c>
      <c r="P20" s="714">
        <v>1487641.8040477117</v>
      </c>
      <c r="Q20" s="713">
        <v>164.75</v>
      </c>
      <c r="R20" s="719"/>
      <c r="S20" s="68" t="s">
        <v>73</v>
      </c>
      <c r="T20" s="716">
        <v>94054.254121431353</v>
      </c>
      <c r="U20" s="717">
        <v>1712.672305701333</v>
      </c>
      <c r="V20" s="717">
        <f t="shared" si="5"/>
        <v>92341.581815730024</v>
      </c>
    </row>
    <row r="21" spans="2:22" x14ac:dyDescent="0.25">
      <c r="D21" s="37">
        <f t="shared" ref="D21:L21" si="12">SUM(D3:D19)</f>
        <v>2128</v>
      </c>
      <c r="E21" s="7">
        <f t="shared" si="12"/>
        <v>21280000</v>
      </c>
      <c r="F21" s="7">
        <f t="shared" si="12"/>
        <v>13567917.127210047</v>
      </c>
      <c r="G21" s="7">
        <f t="shared" si="12"/>
        <v>1014705.6472353199</v>
      </c>
      <c r="H21" s="7">
        <f t="shared" si="12"/>
        <v>14582622.774445366</v>
      </c>
      <c r="I21" s="7">
        <f t="shared" si="12"/>
        <v>130336.58558187934</v>
      </c>
      <c r="J21" s="7">
        <f t="shared" si="12"/>
        <v>14856554.662732458</v>
      </c>
      <c r="K21" s="7">
        <f t="shared" si="12"/>
        <v>36136554.662732467</v>
      </c>
      <c r="L21" s="7">
        <f t="shared" si="12"/>
        <v>1228642.8585329037</v>
      </c>
      <c r="Q21" s="37"/>
      <c r="S21" s="68" t="s">
        <v>440</v>
      </c>
      <c r="T21" s="716">
        <v>56066</v>
      </c>
      <c r="U21" s="717">
        <v>0</v>
      </c>
      <c r="V21" s="717">
        <f t="shared" si="5"/>
        <v>56066</v>
      </c>
    </row>
    <row r="22" spans="2:22" x14ac:dyDescent="0.25">
      <c r="O22" s="7">
        <f>SUM(O3:O21)</f>
        <v>20870000</v>
      </c>
      <c r="P22" s="7">
        <f>SUM(P3:P21)</f>
        <v>13567917.127210047</v>
      </c>
      <c r="Q22" s="37">
        <v>2087</v>
      </c>
      <c r="S22" s="68" t="s">
        <v>441</v>
      </c>
      <c r="T22" s="716">
        <v>41438</v>
      </c>
      <c r="U22" s="717">
        <v>0</v>
      </c>
      <c r="V22" s="717">
        <f t="shared" si="5"/>
        <v>41438</v>
      </c>
    </row>
    <row r="23" spans="2:22" x14ac:dyDescent="0.25">
      <c r="S23" s="68" t="s">
        <v>442</v>
      </c>
      <c r="T23" s="716">
        <v>41438</v>
      </c>
      <c r="U23" s="717">
        <v>0</v>
      </c>
      <c r="V23" s="717">
        <f t="shared" si="5"/>
        <v>41438</v>
      </c>
    </row>
    <row r="24" spans="2:22" x14ac:dyDescent="0.25">
      <c r="S24" s="68" t="s">
        <v>443</v>
      </c>
      <c r="T24" s="716">
        <v>41438</v>
      </c>
      <c r="U24" s="717">
        <v>0</v>
      </c>
      <c r="V24" s="717">
        <f t="shared" si="5"/>
        <v>41438</v>
      </c>
    </row>
    <row r="25" spans="2:22" x14ac:dyDescent="0.25">
      <c r="S25" s="68" t="s">
        <v>444</v>
      </c>
      <c r="T25" s="716">
        <v>41438</v>
      </c>
      <c r="U25" s="717">
        <v>0</v>
      </c>
      <c r="V25" s="717">
        <f t="shared" si="5"/>
        <v>41438</v>
      </c>
    </row>
    <row r="26" spans="2:22" ht="13" x14ac:dyDescent="0.25">
      <c r="T26" s="600">
        <f>SUM(T3:T25)</f>
        <v>1288812.4585806862</v>
      </c>
      <c r="U26" s="600">
        <f>SUM(U3:U25)</f>
        <v>52288.811345366543</v>
      </c>
      <c r="V26" s="600">
        <f>SUM(V3:V25)</f>
        <v>1236523.6472353199</v>
      </c>
    </row>
    <row r="27" spans="2:22" ht="14.5" x14ac:dyDescent="0.35">
      <c r="C27" s="726" t="s">
        <v>445</v>
      </c>
    </row>
    <row r="29" spans="2:22" ht="72.5" x14ac:dyDescent="0.35">
      <c r="C29" s="704" t="s">
        <v>49</v>
      </c>
      <c r="D29" s="705" t="s">
        <v>427</v>
      </c>
      <c r="E29" s="705" t="s">
        <v>428</v>
      </c>
      <c r="F29" s="705" t="s">
        <v>429</v>
      </c>
      <c r="G29" s="705" t="s">
        <v>446</v>
      </c>
      <c r="H29" s="705" t="s">
        <v>430</v>
      </c>
      <c r="I29" s="705" t="s">
        <v>431</v>
      </c>
      <c r="J29" s="705" t="s">
        <v>432</v>
      </c>
      <c r="K29" s="705" t="s">
        <v>447</v>
      </c>
      <c r="L29" s="705" t="s">
        <v>448</v>
      </c>
      <c r="M29" s="706">
        <v>3.4000000000000002E-2</v>
      </c>
      <c r="O29" s="705" t="s">
        <v>449</v>
      </c>
      <c r="R29" s="2"/>
    </row>
    <row r="30" spans="2:22" x14ac:dyDescent="0.25">
      <c r="B30" s="68">
        <v>9257010</v>
      </c>
      <c r="C30" s="712" t="s">
        <v>439</v>
      </c>
      <c r="D30" s="713">
        <v>126</v>
      </c>
      <c r="E30" s="8">
        <f t="shared" ref="E30:E46" si="13">((+D30*10000)*5/12)+((O30*10000)*7/12)</f>
        <v>1382500</v>
      </c>
      <c r="F30" s="8">
        <v>906127.43040856393</v>
      </c>
      <c r="G30" s="8"/>
      <c r="H30" s="8">
        <f>T3</f>
        <v>61714.047666331258</v>
      </c>
      <c r="I30" s="8">
        <f t="shared" ref="I30:I46" si="14">SUM(F30:H30)</f>
        <v>967841.47807489522</v>
      </c>
      <c r="J30" s="8">
        <f>+I30/Q3</f>
        <v>8391.689116256317</v>
      </c>
      <c r="K30" s="8">
        <f t="shared" ref="K30:K47" si="15">((+J30*D30)*5/12)+((J30*O30)*7/12)</f>
        <v>1160151.0203224358</v>
      </c>
      <c r="L30" s="8">
        <f t="shared" ref="L30:L47" si="16">+E30+K30</f>
        <v>2542651.0203224355</v>
      </c>
      <c r="M30" s="8">
        <f t="shared" ref="M30:M47" si="17">+L30*3.4%</f>
        <v>86450.134690962819</v>
      </c>
      <c r="O30" s="713">
        <v>147</v>
      </c>
      <c r="R30" s="2"/>
    </row>
    <row r="31" spans="2:22" x14ac:dyDescent="0.25">
      <c r="B31" s="68">
        <v>9257005</v>
      </c>
      <c r="C31" s="718" t="s">
        <v>259</v>
      </c>
      <c r="D31" s="713">
        <v>90</v>
      </c>
      <c r="E31" s="8">
        <f t="shared" si="13"/>
        <v>806666.66666666674</v>
      </c>
      <c r="F31" s="8">
        <v>782784.52055189444</v>
      </c>
      <c r="G31" s="8"/>
      <c r="H31" s="8">
        <f>T4</f>
        <v>50058.53561655683</v>
      </c>
      <c r="I31" s="8">
        <f t="shared" si="14"/>
        <v>832843.05616845132</v>
      </c>
      <c r="J31" s="8">
        <f>+I31/Q4</f>
        <v>9401.8030799825156</v>
      </c>
      <c r="K31" s="8">
        <f t="shared" si="15"/>
        <v>758412.11511858972</v>
      </c>
      <c r="L31" s="8">
        <f t="shared" si="16"/>
        <v>1565078.7817852565</v>
      </c>
      <c r="M31" s="8">
        <f t="shared" si="17"/>
        <v>53212.678580698725</v>
      </c>
      <c r="O31" s="713">
        <v>74</v>
      </c>
      <c r="R31" s="2"/>
    </row>
    <row r="32" spans="2:22" x14ac:dyDescent="0.25">
      <c r="B32" s="68">
        <v>9257025</v>
      </c>
      <c r="C32" s="718" t="s">
        <v>260</v>
      </c>
      <c r="D32" s="713">
        <v>89</v>
      </c>
      <c r="E32" s="8">
        <f t="shared" si="13"/>
        <v>960000</v>
      </c>
      <c r="F32" s="8">
        <v>616293.34814622696</v>
      </c>
      <c r="G32" s="8"/>
      <c r="H32" s="8">
        <f>T5</f>
        <v>43556.364456440686</v>
      </c>
      <c r="I32" s="8">
        <f t="shared" si="14"/>
        <v>659849.71260266763</v>
      </c>
      <c r="J32" s="8">
        <f>+I32/Q5</f>
        <v>7816.5809982546998</v>
      </c>
      <c r="K32" s="8">
        <f t="shared" si="15"/>
        <v>750391.77583245118</v>
      </c>
      <c r="L32" s="8">
        <f t="shared" si="16"/>
        <v>1710391.7758324512</v>
      </c>
      <c r="M32" s="8">
        <f t="shared" si="17"/>
        <v>58153.320378303346</v>
      </c>
      <c r="O32" s="713">
        <v>101</v>
      </c>
      <c r="R32" s="2"/>
    </row>
    <row r="33" spans="2:18" x14ac:dyDescent="0.25">
      <c r="B33" s="68">
        <v>9257024</v>
      </c>
      <c r="C33" s="718" t="s">
        <v>261</v>
      </c>
      <c r="D33" s="713">
        <v>88</v>
      </c>
      <c r="E33" s="8">
        <f t="shared" si="13"/>
        <v>926666.66666666674</v>
      </c>
      <c r="F33" s="8">
        <v>645024.83394405304</v>
      </c>
      <c r="G33" s="8"/>
      <c r="H33" s="8">
        <f t="shared" ref="H33:H38" si="18">T7</f>
        <v>44985.405853811862</v>
      </c>
      <c r="I33" s="8">
        <f t="shared" si="14"/>
        <v>690010.23979786492</v>
      </c>
      <c r="J33" s="8">
        <f t="shared" ref="J33:J43" si="19">+I33/Q7</f>
        <v>7992.3965999752681</v>
      </c>
      <c r="K33" s="8">
        <f t="shared" si="15"/>
        <v>740628.75159770809</v>
      </c>
      <c r="L33" s="8">
        <f t="shared" si="16"/>
        <v>1667295.4182643748</v>
      </c>
      <c r="M33" s="8">
        <f t="shared" si="17"/>
        <v>56688.044220988748</v>
      </c>
      <c r="O33" s="713">
        <v>96</v>
      </c>
      <c r="R33" s="2"/>
    </row>
    <row r="34" spans="2:18" x14ac:dyDescent="0.25">
      <c r="B34" s="68">
        <v>9257031</v>
      </c>
      <c r="C34" s="718" t="s">
        <v>169</v>
      </c>
      <c r="D34" s="713">
        <v>80</v>
      </c>
      <c r="E34" s="8">
        <f t="shared" si="13"/>
        <v>805833.33333333326</v>
      </c>
      <c r="F34" s="8">
        <v>920969.4617848706</v>
      </c>
      <c r="G34" s="8"/>
      <c r="H34" s="8">
        <f t="shared" si="18"/>
        <v>57770.313853546118</v>
      </c>
      <c r="I34" s="8">
        <f t="shared" si="14"/>
        <v>978739.77563841676</v>
      </c>
      <c r="J34" s="8">
        <f t="shared" si="19"/>
        <v>12170.857313638342</v>
      </c>
      <c r="K34" s="8">
        <f t="shared" si="15"/>
        <v>980768.2518573564</v>
      </c>
      <c r="L34" s="8">
        <f t="shared" si="16"/>
        <v>1786601.5851906897</v>
      </c>
      <c r="M34" s="8">
        <f t="shared" si="17"/>
        <v>60744.45389648345</v>
      </c>
      <c r="O34" s="713">
        <v>81</v>
      </c>
      <c r="R34" s="2"/>
    </row>
    <row r="35" spans="2:18" x14ac:dyDescent="0.25">
      <c r="B35" s="68">
        <v>9257033</v>
      </c>
      <c r="C35" s="718" t="s">
        <v>269</v>
      </c>
      <c r="D35" s="713">
        <v>112</v>
      </c>
      <c r="E35" s="8">
        <f t="shared" si="13"/>
        <v>1137500</v>
      </c>
      <c r="F35" s="8">
        <v>461109.21317218104</v>
      </c>
      <c r="G35" s="8"/>
      <c r="H35" s="8">
        <f t="shared" si="18"/>
        <v>45683.276395165434</v>
      </c>
      <c r="I35" s="8">
        <f t="shared" si="14"/>
        <v>506792.48956734646</v>
      </c>
      <c r="J35" s="8">
        <f t="shared" si="19"/>
        <v>4773.5556317175478</v>
      </c>
      <c r="K35" s="8">
        <f t="shared" si="15"/>
        <v>542991.95310787112</v>
      </c>
      <c r="L35" s="8">
        <f t="shared" si="16"/>
        <v>1680491.9531078711</v>
      </c>
      <c r="M35" s="8">
        <f t="shared" si="17"/>
        <v>57136.726405667621</v>
      </c>
      <c r="O35" s="713">
        <v>115</v>
      </c>
      <c r="R35" s="2"/>
    </row>
    <row r="36" spans="2:18" x14ac:dyDescent="0.25">
      <c r="B36" s="68">
        <v>9257008</v>
      </c>
      <c r="C36" s="718" t="s">
        <v>126</v>
      </c>
      <c r="D36" s="713">
        <v>101</v>
      </c>
      <c r="E36" s="8">
        <f t="shared" si="13"/>
        <v>1010000</v>
      </c>
      <c r="F36" s="8">
        <v>467888.47584672458</v>
      </c>
      <c r="G36" s="8"/>
      <c r="H36" s="8">
        <f t="shared" si="18"/>
        <v>44086.654275401736</v>
      </c>
      <c r="I36" s="8">
        <f t="shared" si="14"/>
        <v>511975.13012212631</v>
      </c>
      <c r="J36" s="8">
        <f t="shared" si="19"/>
        <v>5111.2325802541727</v>
      </c>
      <c r="K36" s="8">
        <f t="shared" si="15"/>
        <v>516234.49060567142</v>
      </c>
      <c r="L36" s="8">
        <f t="shared" si="16"/>
        <v>1526234.4906056714</v>
      </c>
      <c r="M36" s="8">
        <f t="shared" si="17"/>
        <v>51891.972680592829</v>
      </c>
      <c r="O36" s="713">
        <v>101</v>
      </c>
      <c r="R36" s="2"/>
    </row>
    <row r="37" spans="2:18" x14ac:dyDescent="0.25">
      <c r="B37" s="68">
        <v>9257034</v>
      </c>
      <c r="C37" s="718" t="s">
        <v>270</v>
      </c>
      <c r="D37" s="713">
        <v>124</v>
      </c>
      <c r="E37" s="8">
        <f t="shared" si="13"/>
        <v>1286666.6666666667</v>
      </c>
      <c r="F37" s="8">
        <v>484497.03719841107</v>
      </c>
      <c r="G37" s="8"/>
      <c r="H37" s="8">
        <f t="shared" si="18"/>
        <v>50164.565082699439</v>
      </c>
      <c r="I37" s="8">
        <f t="shared" si="14"/>
        <v>534661.60228111048</v>
      </c>
      <c r="J37" s="8">
        <f t="shared" si="19"/>
        <v>4376.4933338153651</v>
      </c>
      <c r="K37" s="8">
        <f t="shared" si="15"/>
        <v>563108.80895091034</v>
      </c>
      <c r="L37" s="8">
        <f t="shared" si="16"/>
        <v>1849775.4756175771</v>
      </c>
      <c r="M37" s="8">
        <f t="shared" si="17"/>
        <v>62892.366170997622</v>
      </c>
      <c r="O37" s="713">
        <v>132</v>
      </c>
      <c r="R37" s="2"/>
    </row>
    <row r="38" spans="2:18" x14ac:dyDescent="0.25">
      <c r="B38" s="68">
        <v>9257002</v>
      </c>
      <c r="C38" s="718" t="s">
        <v>262</v>
      </c>
      <c r="D38" s="713">
        <v>159</v>
      </c>
      <c r="E38" s="8">
        <f t="shared" si="13"/>
        <v>1689166.6666666665</v>
      </c>
      <c r="F38" s="8">
        <v>534980.78324114066</v>
      </c>
      <c r="G38" s="8"/>
      <c r="H38" s="8">
        <f t="shared" si="18"/>
        <v>62749.423497234224</v>
      </c>
      <c r="I38" s="8">
        <f t="shared" si="14"/>
        <v>597730.20673837489</v>
      </c>
      <c r="J38" s="8">
        <f t="shared" si="19"/>
        <v>3839.808608597697</v>
      </c>
      <c r="K38" s="8">
        <f t="shared" si="15"/>
        <v>648607.67080229439</v>
      </c>
      <c r="L38" s="8">
        <f t="shared" si="16"/>
        <v>2337774.3374689608</v>
      </c>
      <c r="M38" s="8">
        <f t="shared" si="17"/>
        <v>79484.327473944679</v>
      </c>
      <c r="O38" s="713">
        <v>176</v>
      </c>
      <c r="R38" s="2"/>
    </row>
    <row r="39" spans="2:18" ht="14.5" x14ac:dyDescent="0.35">
      <c r="B39" s="68">
        <v>9257009</v>
      </c>
      <c r="C39" s="718" t="s">
        <v>334</v>
      </c>
      <c r="D39" s="713">
        <v>202</v>
      </c>
      <c r="E39" s="8">
        <f t="shared" si="13"/>
        <v>2078333.3333333335</v>
      </c>
      <c r="F39" s="727">
        <v>811401.8</v>
      </c>
      <c r="G39" s="8">
        <v>393880</v>
      </c>
      <c r="H39" s="8">
        <f>T6+T13</f>
        <v>94792.864039511041</v>
      </c>
      <c r="I39" s="8">
        <f t="shared" si="14"/>
        <v>1300074.664039511</v>
      </c>
      <c r="J39" s="8">
        <f>+I39/(Q13)</f>
        <v>9437.9285955681371</v>
      </c>
      <c r="K39" s="8">
        <f t="shared" si="15"/>
        <v>1961516.1597789112</v>
      </c>
      <c r="L39" s="8">
        <f t="shared" si="16"/>
        <v>4039849.4931122446</v>
      </c>
      <c r="M39" s="8">
        <f>+L39*3.4%</f>
        <v>137354.88276581632</v>
      </c>
      <c r="O39" s="713">
        <v>212</v>
      </c>
      <c r="R39" s="2"/>
    </row>
    <row r="40" spans="2:18" x14ac:dyDescent="0.25">
      <c r="B40" s="68">
        <v>9257029</v>
      </c>
      <c r="C40" s="718" t="s">
        <v>278</v>
      </c>
      <c r="D40" s="713">
        <v>79</v>
      </c>
      <c r="E40" s="8">
        <f t="shared" si="13"/>
        <v>790000</v>
      </c>
      <c r="F40" s="8">
        <v>888627.89187889441</v>
      </c>
      <c r="G40" s="8"/>
      <c r="H40" s="8">
        <f>T14</f>
        <v>58744.056756366823</v>
      </c>
      <c r="I40" s="8">
        <f t="shared" si="14"/>
        <v>947371.94863526127</v>
      </c>
      <c r="J40" s="8">
        <f t="shared" si="19"/>
        <v>12055.634553152846</v>
      </c>
      <c r="K40" s="8">
        <f t="shared" si="15"/>
        <v>952395.1296990749</v>
      </c>
      <c r="L40" s="8">
        <f t="shared" si="16"/>
        <v>1742395.1296990749</v>
      </c>
      <c r="M40" s="8">
        <f t="shared" si="17"/>
        <v>59241.434409768553</v>
      </c>
      <c r="O40" s="713">
        <v>79</v>
      </c>
      <c r="R40" s="2"/>
    </row>
    <row r="41" spans="2:18" x14ac:dyDescent="0.25">
      <c r="B41" s="68">
        <v>9257032</v>
      </c>
      <c r="C41" s="718" t="s">
        <v>266</v>
      </c>
      <c r="D41" s="713">
        <v>104</v>
      </c>
      <c r="E41" s="8">
        <f t="shared" si="13"/>
        <v>1104166.6666666667</v>
      </c>
      <c r="F41" s="8">
        <v>1025619.1564844754</v>
      </c>
      <c r="G41" s="8">
        <v>174700</v>
      </c>
      <c r="H41" s="8">
        <f>T15</f>
        <v>74763.844694534258</v>
      </c>
      <c r="I41" s="8">
        <f t="shared" si="14"/>
        <v>1275083.0011790097</v>
      </c>
      <c r="J41" s="8">
        <f t="shared" si="19"/>
        <v>12260.413472875092</v>
      </c>
      <c r="K41" s="8">
        <f t="shared" si="15"/>
        <v>1353753.9876299582</v>
      </c>
      <c r="L41" s="8">
        <f t="shared" si="16"/>
        <v>2457920.6542966249</v>
      </c>
      <c r="M41" s="8">
        <f t="shared" si="17"/>
        <v>83569.302246085252</v>
      </c>
      <c r="O41" s="713">
        <v>115</v>
      </c>
      <c r="R41" s="2"/>
    </row>
    <row r="42" spans="2:18" x14ac:dyDescent="0.25">
      <c r="B42" s="68">
        <v>9257030</v>
      </c>
      <c r="C42" s="718" t="s">
        <v>268</v>
      </c>
      <c r="D42" s="713">
        <v>70</v>
      </c>
      <c r="E42" s="8">
        <f t="shared" si="13"/>
        <v>700000</v>
      </c>
      <c r="F42" s="8">
        <v>853316.79185140773</v>
      </c>
      <c r="G42" s="8"/>
      <c r="H42" s="8">
        <f>T16</f>
        <v>56038.214663745282</v>
      </c>
      <c r="I42" s="8">
        <f t="shared" si="14"/>
        <v>909355.00651515299</v>
      </c>
      <c r="J42" s="8">
        <f t="shared" si="19"/>
        <v>12837.9530331551</v>
      </c>
      <c r="K42" s="8">
        <f t="shared" si="15"/>
        <v>898656.71232085698</v>
      </c>
      <c r="L42" s="8">
        <f t="shared" si="16"/>
        <v>1598656.712320857</v>
      </c>
      <c r="M42" s="8">
        <f t="shared" si="17"/>
        <v>54354.328218909141</v>
      </c>
      <c r="O42" s="713">
        <v>70</v>
      </c>
      <c r="R42" s="2"/>
    </row>
    <row r="43" spans="2:18" x14ac:dyDescent="0.25">
      <c r="B43" s="68">
        <v>9257028</v>
      </c>
      <c r="C43" s="718" t="s">
        <v>70</v>
      </c>
      <c r="D43" s="713">
        <v>135</v>
      </c>
      <c r="E43" s="8">
        <f t="shared" si="13"/>
        <v>1385000</v>
      </c>
      <c r="F43" s="8">
        <v>944486.86598736909</v>
      </c>
      <c r="G43" s="8"/>
      <c r="H43" s="8">
        <f>T17</f>
        <v>67309.605979621076</v>
      </c>
      <c r="I43" s="8">
        <f t="shared" si="14"/>
        <v>1011796.4719669902</v>
      </c>
      <c r="J43" s="8">
        <f t="shared" si="19"/>
        <v>7788.0421190531624</v>
      </c>
      <c r="K43" s="8">
        <f t="shared" si="15"/>
        <v>1078643.833488863</v>
      </c>
      <c r="L43" s="8">
        <f t="shared" si="16"/>
        <v>2463643.833488863</v>
      </c>
      <c r="M43" s="8">
        <f t="shared" si="17"/>
        <v>83763.89033862135</v>
      </c>
      <c r="O43" s="713">
        <v>141</v>
      </c>
      <c r="R43" s="2"/>
    </row>
    <row r="44" spans="2:18" x14ac:dyDescent="0.25">
      <c r="B44" s="68">
        <v>9257021</v>
      </c>
      <c r="C44" s="718" t="s">
        <v>263</v>
      </c>
      <c r="D44" s="713">
        <v>178</v>
      </c>
      <c r="E44" s="8">
        <f t="shared" si="13"/>
        <v>1785833.3333333333</v>
      </c>
      <c r="F44" s="8">
        <v>600502.84805452451</v>
      </c>
      <c r="G44" s="8"/>
      <c r="H44" s="8">
        <f t="shared" ref="H44:H46" si="20">T18</f>
        <v>70290.085441635732</v>
      </c>
      <c r="I44" s="8">
        <f t="shared" si="14"/>
        <v>670792.9334961602</v>
      </c>
      <c r="J44" s="8">
        <f t="shared" ref="J44:J46" si="21">+I44/Q18</f>
        <v>3849.6007661185663</v>
      </c>
      <c r="K44" s="8">
        <f t="shared" si="15"/>
        <v>687474.53681600734</v>
      </c>
      <c r="L44" s="8">
        <f t="shared" si="16"/>
        <v>2473307.8701493405</v>
      </c>
      <c r="M44" s="8">
        <f t="shared" si="17"/>
        <v>84092.467585077582</v>
      </c>
      <c r="O44" s="713">
        <v>179</v>
      </c>
      <c r="R44" s="2"/>
    </row>
    <row r="45" spans="2:18" x14ac:dyDescent="0.25">
      <c r="B45" s="68">
        <v>9257015</v>
      </c>
      <c r="C45" s="718" t="s">
        <v>72</v>
      </c>
      <c r="D45" s="713">
        <v>225</v>
      </c>
      <c r="E45" s="8">
        <f t="shared" si="13"/>
        <v>2337500</v>
      </c>
      <c r="F45" s="8">
        <v>742764.87288844166</v>
      </c>
      <c r="G45" s="8"/>
      <c r="H45" s="8">
        <f t="shared" si="20"/>
        <v>90232.946186653251</v>
      </c>
      <c r="I45" s="8">
        <f t="shared" si="14"/>
        <v>832997.81907509489</v>
      </c>
      <c r="J45" s="8">
        <f t="shared" si="21"/>
        <v>3677.6945654529577</v>
      </c>
      <c r="K45" s="8">
        <f t="shared" si="15"/>
        <v>859661.10467462894</v>
      </c>
      <c r="L45" s="8">
        <f t="shared" si="16"/>
        <v>3197161.1046746289</v>
      </c>
      <c r="M45" s="8">
        <f t="shared" si="17"/>
        <v>108703.47755893739</v>
      </c>
      <c r="O45" s="713">
        <v>240</v>
      </c>
      <c r="R45" s="2"/>
    </row>
    <row r="46" spans="2:18" x14ac:dyDescent="0.25">
      <c r="B46" s="68">
        <v>9257016</v>
      </c>
      <c r="C46" s="718" t="s">
        <v>73</v>
      </c>
      <c r="D46" s="713">
        <v>166</v>
      </c>
      <c r="E46" s="8">
        <f t="shared" si="13"/>
        <v>1654166.6666666665</v>
      </c>
      <c r="F46" s="8">
        <v>1487641.8040477117</v>
      </c>
      <c r="G46" s="8"/>
      <c r="H46" s="8">
        <f t="shared" si="20"/>
        <v>94054.254121431353</v>
      </c>
      <c r="I46" s="8">
        <f t="shared" si="14"/>
        <v>1581696.058169143</v>
      </c>
      <c r="J46" s="8">
        <f t="shared" si="21"/>
        <v>9600.583054137438</v>
      </c>
      <c r="K46" s="8">
        <f t="shared" si="15"/>
        <v>1588096.4468719014</v>
      </c>
      <c r="L46" s="8">
        <f t="shared" si="16"/>
        <v>3242263.1135385679</v>
      </c>
      <c r="M46" s="8">
        <f t="shared" si="17"/>
        <v>110236.94586031132</v>
      </c>
      <c r="O46" s="713">
        <v>165</v>
      </c>
      <c r="R46" s="2"/>
    </row>
    <row r="47" spans="2:18" x14ac:dyDescent="0.25">
      <c r="C47" s="728" t="s">
        <v>220</v>
      </c>
      <c r="D47" s="729">
        <v>80</v>
      </c>
      <c r="E47" s="725">
        <v>800000</v>
      </c>
      <c r="F47" s="725">
        <v>918080</v>
      </c>
      <c r="G47" s="725"/>
      <c r="H47" s="725">
        <f>T21</f>
        <v>56066</v>
      </c>
      <c r="I47" s="725">
        <f>SUM(F47:H47)</f>
        <v>974146</v>
      </c>
      <c r="J47" s="725">
        <f>+I47/80</f>
        <v>12176.825000000001</v>
      </c>
      <c r="K47" s="725">
        <f t="shared" si="15"/>
        <v>974146</v>
      </c>
      <c r="L47" s="725">
        <f t="shared" si="16"/>
        <v>1774146</v>
      </c>
      <c r="M47" s="725">
        <f t="shared" si="17"/>
        <v>60320.964000000007</v>
      </c>
      <c r="O47" s="729">
        <v>80</v>
      </c>
      <c r="R47" s="2"/>
    </row>
    <row r="48" spans="2:18" x14ac:dyDescent="0.25">
      <c r="O48"/>
      <c r="R48" s="2"/>
    </row>
    <row r="49" spans="4:18" x14ac:dyDescent="0.25">
      <c r="D49" s="37">
        <f t="shared" ref="D49:M49" si="22">SUM(D30:D46)</f>
        <v>2128</v>
      </c>
      <c r="E49" s="7">
        <f t="shared" si="22"/>
        <v>21840000</v>
      </c>
      <c r="F49" s="7">
        <f t="shared" si="22"/>
        <v>13174037.13548689</v>
      </c>
      <c r="G49" s="7">
        <f t="shared" si="22"/>
        <v>568580</v>
      </c>
      <c r="H49" s="7">
        <f t="shared" si="22"/>
        <v>1066994.4585806862</v>
      </c>
      <c r="I49" s="7">
        <f t="shared" si="22"/>
        <v>14809611.594067577</v>
      </c>
      <c r="J49" s="7">
        <f t="shared" si="22"/>
        <v>135382.26742200524</v>
      </c>
      <c r="K49" s="7">
        <f t="shared" si="22"/>
        <v>16041492.749475488</v>
      </c>
      <c r="L49" s="7">
        <f t="shared" si="22"/>
        <v>37881492.749475487</v>
      </c>
      <c r="M49" s="7">
        <f t="shared" si="22"/>
        <v>1287970.7534821667</v>
      </c>
      <c r="O49" s="37">
        <f>SUM(O30:O46)</f>
        <v>2224</v>
      </c>
      <c r="R49" s="2"/>
    </row>
    <row r="52" spans="4:18" x14ac:dyDescent="0.25">
      <c r="H52" t="s">
        <v>450</v>
      </c>
    </row>
  </sheetData>
  <mergeCells count="1">
    <mergeCell ref="N1:Q1"/>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2E26-1510-4BC4-A250-7494C7809312}">
  <sheetPr>
    <tabColor rgb="FF92D050"/>
  </sheetPr>
  <dimension ref="A5:O109"/>
  <sheetViews>
    <sheetView topLeftCell="A15" workbookViewId="0">
      <selection activeCell="E42" sqref="E42"/>
    </sheetView>
  </sheetViews>
  <sheetFormatPr defaultRowHeight="12.5" x14ac:dyDescent="0.25"/>
  <cols>
    <col min="1" max="1" width="11.26953125" customWidth="1"/>
    <col min="3" max="7" width="25.7265625" style="2" customWidth="1"/>
    <col min="8" max="17" width="25.7265625" customWidth="1"/>
  </cols>
  <sheetData>
    <row r="5" spans="2:6" x14ac:dyDescent="0.25">
      <c r="C5" s="1046" t="s">
        <v>459</v>
      </c>
      <c r="D5" s="1046"/>
      <c r="E5" s="570" t="s">
        <v>460</v>
      </c>
    </row>
    <row r="6" spans="2:6" ht="13" x14ac:dyDescent="0.3">
      <c r="C6" s="367" t="s">
        <v>461</v>
      </c>
      <c r="D6" s="367" t="s">
        <v>462</v>
      </c>
      <c r="E6" s="9" t="s">
        <v>463</v>
      </c>
      <c r="F6" s="350" t="s">
        <v>464</v>
      </c>
    </row>
    <row r="7" spans="2:6" ht="13" x14ac:dyDescent="0.3">
      <c r="B7" s="15" t="s">
        <v>229</v>
      </c>
      <c r="C7" s="569">
        <f>'[16]TA Workings'!M92</f>
        <v>1.0226871923558922E-2</v>
      </c>
      <c r="D7" s="569">
        <f>'[16]Pay &amp; Pension Workings'!P92</f>
        <v>8.4827726326253489E-2</v>
      </c>
      <c r="E7" s="569">
        <f>'[16]2223 Band Values'!BL11</f>
        <v>2.6131128871127795E-2</v>
      </c>
      <c r="F7" s="571">
        <f>SUM(C7:E7)</f>
        <v>0.12118572712094021</v>
      </c>
    </row>
    <row r="8" spans="2:6" ht="13" x14ac:dyDescent="0.3">
      <c r="B8" s="15"/>
      <c r="C8" s="569"/>
      <c r="D8" s="569"/>
      <c r="F8" s="571"/>
    </row>
    <row r="9" spans="2:6" ht="13" x14ac:dyDescent="0.3">
      <c r="B9" s="15" t="s">
        <v>230</v>
      </c>
      <c r="C9" s="569">
        <f>'[16]TA Workings'!M94</f>
        <v>1.0316760016105668E-2</v>
      </c>
      <c r="D9" s="569">
        <f>'[16]Pay &amp; Pension Workings'!P94</f>
        <v>8.5573311346926056E-2</v>
      </c>
      <c r="E9" s="569">
        <f>'[16]2223 Band Values'!BL8</f>
        <v>2.6360805877731167E-2</v>
      </c>
      <c r="F9" s="571">
        <f t="shared" ref="F9:F19" si="0">SUM(C9:E9)</f>
        <v>0.12225087724076289</v>
      </c>
    </row>
    <row r="10" spans="2:6" ht="13" x14ac:dyDescent="0.3">
      <c r="B10" s="15"/>
      <c r="C10" s="569"/>
      <c r="D10" s="569"/>
      <c r="F10" s="571"/>
    </row>
    <row r="11" spans="2:6" ht="13" x14ac:dyDescent="0.3">
      <c r="B11" s="15" t="s">
        <v>231</v>
      </c>
      <c r="C11" s="569">
        <f>'[16]TA Workings'!M96</f>
        <v>1.8765362902340054E-2</v>
      </c>
      <c r="D11" s="569">
        <f>'[16]Pay &amp; Pension Workings'!P96</f>
        <v>5.1883674062824015E-2</v>
      </c>
      <c r="E11" s="569">
        <f>'[16]2223 Band Values'!BL30</f>
        <v>2.6594926315760596E-2</v>
      </c>
      <c r="F11" s="571">
        <f t="shared" si="0"/>
        <v>9.7243963280924661E-2</v>
      </c>
    </row>
    <row r="12" spans="2:6" ht="13" x14ac:dyDescent="0.3">
      <c r="B12" s="15"/>
      <c r="C12" s="569"/>
      <c r="D12" s="569"/>
      <c r="F12" s="571"/>
    </row>
    <row r="13" spans="2:6" ht="13" x14ac:dyDescent="0.3">
      <c r="B13" s="15" t="s">
        <v>232</v>
      </c>
      <c r="C13" s="569">
        <f>'[16]TA Workings'!M98</f>
        <v>1.8865900678794404E-2</v>
      </c>
      <c r="D13" s="569">
        <f>'[16]Pay &amp; Pension Workings'!P98</f>
        <v>5.216164732940607E-2</v>
      </c>
      <c r="E13" s="569">
        <f>'[16]2223 Band Values'!BL5</f>
        <v>3.0676153688162025E-2</v>
      </c>
      <c r="F13" s="571">
        <f t="shared" si="0"/>
        <v>0.1017037016963625</v>
      </c>
    </row>
    <row r="14" spans="2:6" ht="13" x14ac:dyDescent="0.3">
      <c r="B14" s="15"/>
      <c r="C14" s="569"/>
      <c r="D14" s="569"/>
      <c r="F14" s="571"/>
    </row>
    <row r="15" spans="2:6" ht="13" x14ac:dyDescent="0.3">
      <c r="B15" s="15" t="s">
        <v>233</v>
      </c>
      <c r="C15" s="569">
        <f>'[16]TA Workings'!M100</f>
        <v>1.8865900678794404E-2</v>
      </c>
      <c r="D15" s="569">
        <f>'[16]Pay &amp; Pension Workings'!P100</f>
        <v>5.216164732940607E-2</v>
      </c>
      <c r="E15" s="569">
        <f>'[16]2223 Band Values'!BL14</f>
        <v>3.0676153688162025E-2</v>
      </c>
      <c r="F15" s="571">
        <f t="shared" si="0"/>
        <v>0.1017037016963625</v>
      </c>
    </row>
    <row r="16" spans="2:6" ht="13" x14ac:dyDescent="0.3">
      <c r="B16" s="15"/>
      <c r="C16" s="569"/>
      <c r="D16" s="569"/>
      <c r="F16" s="571"/>
    </row>
    <row r="17" spans="1:13" ht="13" x14ac:dyDescent="0.3">
      <c r="B17" s="15" t="s">
        <v>234</v>
      </c>
      <c r="C17" s="569">
        <f>'[16]TA Workings'!M102</f>
        <v>1.5785889563484205E-2</v>
      </c>
      <c r="D17" s="569">
        <f>'[16]Pay &amp; Pension Workings'!P102</f>
        <v>6.5468753775186753E-2</v>
      </c>
      <c r="E17" s="569">
        <f>'[16]2223 Band Values'!BL22</f>
        <v>2.9334821969648105E-2</v>
      </c>
      <c r="F17" s="571">
        <f t="shared" si="0"/>
        <v>0.11058946530831906</v>
      </c>
    </row>
    <row r="18" spans="1:13" ht="13" x14ac:dyDescent="0.3">
      <c r="B18" s="15"/>
      <c r="C18" s="569"/>
      <c r="D18" s="569"/>
      <c r="F18" s="571"/>
    </row>
    <row r="19" spans="1:13" ht="13" x14ac:dyDescent="0.3">
      <c r="B19" s="15" t="s">
        <v>235</v>
      </c>
      <c r="C19" s="569">
        <f>'[16]TA Workings'!M104</f>
        <v>1.6143641675148718E-2</v>
      </c>
      <c r="D19" s="569">
        <f>'[16]Pay &amp; Pension Workings'!P104</f>
        <v>0</v>
      </c>
      <c r="E19" s="569">
        <f>'[16]2223 Band Values'!BL24</f>
        <v>3.6347569411603046E-2</v>
      </c>
      <c r="F19" s="571">
        <f t="shared" si="0"/>
        <v>5.2491211086751768E-2</v>
      </c>
      <c r="H19" s="150" t="s">
        <v>465</v>
      </c>
    </row>
    <row r="21" spans="1:13" ht="13.5" thickBot="1" x14ac:dyDescent="0.35">
      <c r="F21" s="572">
        <f>AVERAGE(F7:F19)</f>
        <v>0.10102409249006052</v>
      </c>
      <c r="G21" s="2" t="s">
        <v>466</v>
      </c>
    </row>
    <row r="23" spans="1:13" ht="13" x14ac:dyDescent="0.3">
      <c r="B23" s="101" t="s">
        <v>467</v>
      </c>
      <c r="F23" s="571">
        <f>AVERAGE(F7:F17)</f>
        <v>0.10911290605727864</v>
      </c>
      <c r="G23" s="109" t="s">
        <v>468</v>
      </c>
    </row>
    <row r="28" spans="1:13" ht="13" x14ac:dyDescent="0.3">
      <c r="A28" t="s">
        <v>419</v>
      </c>
      <c r="H28" s="1045" t="s">
        <v>417</v>
      </c>
      <c r="I28" s="1045"/>
      <c r="J28" s="1045" t="s">
        <v>418</v>
      </c>
      <c r="K28" s="1045"/>
    </row>
    <row r="29" spans="1:13" ht="13" x14ac:dyDescent="0.3">
      <c r="B29" s="1045" t="s">
        <v>420</v>
      </c>
      <c r="C29" s="1045"/>
      <c r="E29" s="1045" t="s">
        <v>469</v>
      </c>
      <c r="F29" s="1045"/>
      <c r="H29" s="2" t="s">
        <v>422</v>
      </c>
      <c r="I29" s="109" t="s">
        <v>423</v>
      </c>
      <c r="J29" s="2" t="s">
        <v>422</v>
      </c>
      <c r="K29" s="109" t="s">
        <v>423</v>
      </c>
      <c r="M29" s="109" t="s">
        <v>470</v>
      </c>
    </row>
    <row r="30" spans="1:13" x14ac:dyDescent="0.25">
      <c r="B30" s="2">
        <v>600</v>
      </c>
      <c r="C30" s="7">
        <v>600000</v>
      </c>
      <c r="D30" s="38" t="s">
        <v>244</v>
      </c>
      <c r="E30" s="7">
        <f>C30*1.1</f>
        <v>660000</v>
      </c>
      <c r="F30" s="7">
        <f>E30</f>
        <v>660000</v>
      </c>
      <c r="G30" s="7"/>
      <c r="H30" s="141">
        <v>316450</v>
      </c>
      <c r="I30" s="141">
        <v>103000</v>
      </c>
      <c r="J30" s="141">
        <v>277282</v>
      </c>
      <c r="K30" s="141">
        <v>88550</v>
      </c>
      <c r="L30" s="2"/>
    </row>
    <row r="31" spans="1:13" x14ac:dyDescent="0.25">
      <c r="B31" s="2">
        <v>100</v>
      </c>
      <c r="C31" s="7">
        <v>700000</v>
      </c>
      <c r="D31" s="38" t="s">
        <v>245</v>
      </c>
      <c r="E31" s="7">
        <f t="shared" ref="E31:E40" si="1">C31*1.1</f>
        <v>770000.00000000012</v>
      </c>
      <c r="F31" s="7">
        <f>E31-E30</f>
        <v>110000.00000000012</v>
      </c>
      <c r="G31" s="7"/>
      <c r="H31" s="141">
        <v>352135</v>
      </c>
      <c r="I31" s="141">
        <v>108150</v>
      </c>
      <c r="J31" s="141">
        <v>321141</v>
      </c>
      <c r="K31" s="141">
        <v>88550</v>
      </c>
      <c r="L31" s="2"/>
    </row>
    <row r="32" spans="1:13" x14ac:dyDescent="0.25">
      <c r="B32" s="2">
        <v>250</v>
      </c>
      <c r="C32" s="7">
        <v>950000</v>
      </c>
      <c r="D32" s="38" t="s">
        <v>246</v>
      </c>
      <c r="E32" s="7">
        <f t="shared" si="1"/>
        <v>1045000.0000000001</v>
      </c>
      <c r="F32" s="173">
        <f>E32-E31</f>
        <v>275000</v>
      </c>
      <c r="G32" s="7"/>
      <c r="H32" s="141">
        <v>387820</v>
      </c>
      <c r="I32" s="141">
        <v>113300</v>
      </c>
      <c r="J32" s="141">
        <v>365000</v>
      </c>
      <c r="K32" s="141">
        <v>88550</v>
      </c>
      <c r="L32" s="2"/>
    </row>
    <row r="33" spans="1:12" x14ac:dyDescent="0.25">
      <c r="A33">
        <f t="shared" ref="A33:A40" si="2">B33-B31</f>
        <v>50</v>
      </c>
      <c r="B33" s="2">
        <v>150</v>
      </c>
      <c r="C33" s="7">
        <v>1100000</v>
      </c>
      <c r="D33" s="38" t="s">
        <v>247</v>
      </c>
      <c r="E33" s="7">
        <f t="shared" si="1"/>
        <v>1210000</v>
      </c>
      <c r="F33" s="7">
        <f>E33-E32</f>
        <v>164999.99999999988</v>
      </c>
      <c r="G33" s="7">
        <f>F33-F31</f>
        <v>54999.999999999767</v>
      </c>
      <c r="H33" s="141">
        <v>425940</v>
      </c>
      <c r="I33" s="141">
        <v>118450</v>
      </c>
      <c r="J33" s="141">
        <v>383275</v>
      </c>
      <c r="K33" s="141">
        <v>88550</v>
      </c>
      <c r="L33" s="2"/>
    </row>
    <row r="34" spans="1:12" x14ac:dyDescent="0.25">
      <c r="A34">
        <f t="shared" si="2"/>
        <v>50</v>
      </c>
      <c r="B34" s="2">
        <v>300</v>
      </c>
      <c r="C34" s="7">
        <v>1400000</v>
      </c>
      <c r="D34" s="38" t="s">
        <v>248</v>
      </c>
      <c r="E34" s="7">
        <f t="shared" si="1"/>
        <v>1540000.0000000002</v>
      </c>
      <c r="F34" s="173">
        <f t="shared" ref="F34:F39" si="3">E34-E33</f>
        <v>330000.00000000023</v>
      </c>
      <c r="G34" s="173">
        <f>F34-F32</f>
        <v>55000.000000000233</v>
      </c>
      <c r="H34" s="141">
        <v>464060</v>
      </c>
      <c r="I34" s="141">
        <v>123600</v>
      </c>
      <c r="J34" s="141">
        <v>401550</v>
      </c>
      <c r="K34" s="141">
        <v>88550</v>
      </c>
      <c r="L34" s="2"/>
    </row>
    <row r="35" spans="1:12" x14ac:dyDescent="0.25">
      <c r="A35">
        <f t="shared" si="2"/>
        <v>50</v>
      </c>
      <c r="B35" s="2">
        <v>200</v>
      </c>
      <c r="C35" s="7">
        <v>1600000</v>
      </c>
      <c r="D35" s="38" t="s">
        <v>249</v>
      </c>
      <c r="E35" s="7">
        <f t="shared" si="1"/>
        <v>1760000.0000000002</v>
      </c>
      <c r="F35" s="7">
        <f t="shared" si="3"/>
        <v>220000</v>
      </c>
      <c r="G35" s="7">
        <f t="shared" ref="G35:G39" si="4">F35-F33</f>
        <v>55000.000000000116</v>
      </c>
      <c r="H35" s="141">
        <v>507380</v>
      </c>
      <c r="I35" s="141">
        <v>133900</v>
      </c>
      <c r="J35" s="141"/>
      <c r="K35" s="354"/>
      <c r="L35" s="2"/>
    </row>
    <row r="36" spans="1:12" x14ac:dyDescent="0.25">
      <c r="A36">
        <f t="shared" si="2"/>
        <v>50</v>
      </c>
      <c r="B36" s="2">
        <v>350</v>
      </c>
      <c r="C36" s="7">
        <v>1950000</v>
      </c>
      <c r="D36" s="38" t="s">
        <v>250</v>
      </c>
      <c r="E36" s="7">
        <f t="shared" si="1"/>
        <v>2145000</v>
      </c>
      <c r="F36" s="173">
        <f t="shared" si="3"/>
        <v>384999.99999999977</v>
      </c>
      <c r="G36" s="173">
        <f t="shared" si="4"/>
        <v>54999.999999999534</v>
      </c>
      <c r="H36" s="141">
        <v>550700</v>
      </c>
      <c r="I36" s="141">
        <v>144200</v>
      </c>
      <c r="J36" s="677"/>
      <c r="K36" s="354"/>
      <c r="L36" s="2"/>
    </row>
    <row r="37" spans="1:12" x14ac:dyDescent="0.25">
      <c r="A37">
        <f t="shared" si="2"/>
        <v>50</v>
      </c>
      <c r="B37" s="2">
        <v>250</v>
      </c>
      <c r="C37" s="7">
        <v>2200000</v>
      </c>
      <c r="D37" s="38" t="s">
        <v>251</v>
      </c>
      <c r="E37" s="7">
        <f t="shared" si="1"/>
        <v>2420000</v>
      </c>
      <c r="F37" s="7">
        <f t="shared" si="3"/>
        <v>275000</v>
      </c>
      <c r="G37" s="7">
        <f t="shared" si="4"/>
        <v>55000</v>
      </c>
      <c r="H37" s="141">
        <v>597290</v>
      </c>
      <c r="I37" s="141">
        <v>149350</v>
      </c>
      <c r="J37" s="677"/>
      <c r="K37" s="354"/>
      <c r="L37" s="2"/>
    </row>
    <row r="38" spans="1:12" x14ac:dyDescent="0.25">
      <c r="A38">
        <f t="shared" si="2"/>
        <v>50</v>
      </c>
      <c r="B38" s="2">
        <v>400</v>
      </c>
      <c r="C38" s="7">
        <v>2600000</v>
      </c>
      <c r="D38" s="38" t="s">
        <v>252</v>
      </c>
      <c r="E38" s="7">
        <f t="shared" si="1"/>
        <v>2860000</v>
      </c>
      <c r="F38" s="173">
        <f t="shared" si="3"/>
        <v>440000</v>
      </c>
      <c r="G38" s="173">
        <f t="shared" si="4"/>
        <v>55000.000000000233</v>
      </c>
      <c r="H38" s="141">
        <v>643880</v>
      </c>
      <c r="I38" s="141">
        <v>154500</v>
      </c>
      <c r="J38" s="677"/>
      <c r="K38" s="354"/>
      <c r="L38" s="2"/>
    </row>
    <row r="39" spans="1:12" x14ac:dyDescent="0.25">
      <c r="A39">
        <f t="shared" si="2"/>
        <v>50</v>
      </c>
      <c r="B39" s="2">
        <v>300</v>
      </c>
      <c r="C39" s="7">
        <v>2900000</v>
      </c>
      <c r="D39" s="38" t="s">
        <v>424</v>
      </c>
      <c r="E39" s="7">
        <f>C39*1.1</f>
        <v>3190000.0000000005</v>
      </c>
      <c r="F39" s="7">
        <f t="shared" si="3"/>
        <v>330000.00000000047</v>
      </c>
      <c r="G39" s="7">
        <f t="shared" si="4"/>
        <v>55000.000000000466</v>
      </c>
      <c r="H39" s="61"/>
      <c r="I39" s="7"/>
      <c r="J39" s="7"/>
      <c r="K39" s="7"/>
      <c r="L39" s="2"/>
    </row>
    <row r="40" spans="1:12" x14ac:dyDescent="0.25">
      <c r="A40">
        <f t="shared" si="2"/>
        <v>50</v>
      </c>
      <c r="B40" s="2">
        <v>450</v>
      </c>
      <c r="C40" s="7">
        <v>3350000</v>
      </c>
      <c r="D40" s="38" t="s">
        <v>425</v>
      </c>
      <c r="E40" s="7">
        <f t="shared" si="1"/>
        <v>3685000.0000000005</v>
      </c>
      <c r="F40" s="173">
        <f>E40-E39</f>
        <v>495000</v>
      </c>
      <c r="G40" s="173">
        <f>F40-F38</f>
        <v>55000</v>
      </c>
      <c r="H40" s="61"/>
      <c r="I40" s="7"/>
      <c r="J40" s="7"/>
      <c r="K40" s="7"/>
      <c r="L40" s="2"/>
    </row>
    <row r="41" spans="1:12" ht="13" thickBot="1" x14ac:dyDescent="0.3">
      <c r="B41" s="573">
        <f>SUM(B30:B40)</f>
        <v>3350</v>
      </c>
      <c r="D41"/>
      <c r="I41" s="2"/>
      <c r="J41" s="2"/>
      <c r="K41" s="2"/>
      <c r="L41" s="2"/>
    </row>
    <row r="42" spans="1:12" x14ac:dyDescent="0.25">
      <c r="G42" s="2" t="s">
        <v>471</v>
      </c>
    </row>
    <row r="44" spans="1:12" x14ac:dyDescent="0.25">
      <c r="H44" t="s">
        <v>472</v>
      </c>
    </row>
    <row r="45" spans="1:12" ht="13" x14ac:dyDescent="0.3">
      <c r="H45" s="1045" t="s">
        <v>417</v>
      </c>
      <c r="I45" s="1045"/>
      <c r="J45" s="1045" t="s">
        <v>418</v>
      </c>
      <c r="K45" s="1045"/>
    </row>
    <row r="46" spans="1:12" x14ac:dyDescent="0.25">
      <c r="H46" s="2" t="s">
        <v>422</v>
      </c>
      <c r="I46" s="109" t="s">
        <v>423</v>
      </c>
      <c r="J46" s="2" t="s">
        <v>422</v>
      </c>
      <c r="K46" s="109" t="s">
        <v>423</v>
      </c>
    </row>
    <row r="47" spans="1:12" x14ac:dyDescent="0.25">
      <c r="G47" s="38" t="s">
        <v>244</v>
      </c>
      <c r="H47" s="7">
        <v>316450</v>
      </c>
      <c r="I47" s="7">
        <v>103000</v>
      </c>
      <c r="J47" s="7">
        <v>277282</v>
      </c>
      <c r="K47" s="7">
        <v>88550</v>
      </c>
    </row>
    <row r="48" spans="1:12" x14ac:dyDescent="0.25">
      <c r="G48" s="38" t="s">
        <v>245</v>
      </c>
      <c r="H48" s="7">
        <f>(H49+H47)/2</f>
        <v>352135</v>
      </c>
      <c r="I48" s="7">
        <f>(I49+I47)/2</f>
        <v>108150</v>
      </c>
      <c r="J48" s="7">
        <f>(J49+J47)/2</f>
        <v>321141</v>
      </c>
      <c r="K48" s="7">
        <v>88550</v>
      </c>
    </row>
    <row r="49" spans="7:13" x14ac:dyDescent="0.25">
      <c r="G49" s="38" t="s">
        <v>246</v>
      </c>
      <c r="H49" s="7">
        <v>387820</v>
      </c>
      <c r="I49" s="7">
        <v>113300</v>
      </c>
      <c r="J49" s="7">
        <v>365000</v>
      </c>
      <c r="K49" s="7">
        <v>88550</v>
      </c>
    </row>
    <row r="50" spans="7:13" x14ac:dyDescent="0.25">
      <c r="G50" s="38" t="s">
        <v>247</v>
      </c>
      <c r="H50" s="7">
        <f>(H51+H49)/2</f>
        <v>425940</v>
      </c>
      <c r="I50" s="7">
        <f>(I51+I49)/2</f>
        <v>118450</v>
      </c>
      <c r="J50" s="7">
        <f>(J51+J49)/2</f>
        <v>383275</v>
      </c>
      <c r="K50" s="7">
        <v>88550</v>
      </c>
    </row>
    <row r="51" spans="7:13" x14ac:dyDescent="0.25">
      <c r="G51" s="38" t="s">
        <v>248</v>
      </c>
      <c r="H51" s="7">
        <v>464060</v>
      </c>
      <c r="I51" s="7">
        <v>123600</v>
      </c>
      <c r="J51" s="7">
        <v>401550</v>
      </c>
      <c r="K51" s="7">
        <v>88550</v>
      </c>
    </row>
    <row r="52" spans="7:13" x14ac:dyDescent="0.25">
      <c r="G52" s="38" t="s">
        <v>249</v>
      </c>
      <c r="H52" s="7">
        <f>(H53+H51)/2</f>
        <v>507380</v>
      </c>
      <c r="I52" s="7">
        <f>(I53+I51)/2</f>
        <v>133900</v>
      </c>
      <c r="J52" s="7"/>
    </row>
    <row r="53" spans="7:13" x14ac:dyDescent="0.25">
      <c r="G53" s="38" t="s">
        <v>250</v>
      </c>
      <c r="H53" s="7">
        <v>550700</v>
      </c>
      <c r="I53" s="7">
        <v>144200</v>
      </c>
      <c r="J53" s="61"/>
    </row>
    <row r="54" spans="7:13" x14ac:dyDescent="0.25">
      <c r="G54" s="38" t="s">
        <v>251</v>
      </c>
      <c r="H54" s="7">
        <f>(H55+H53)/2</f>
        <v>597290</v>
      </c>
      <c r="I54" s="7">
        <f>(I55+I53)/2</f>
        <v>149350</v>
      </c>
      <c r="J54" s="61"/>
    </row>
    <row r="55" spans="7:13" x14ac:dyDescent="0.25">
      <c r="G55" s="38" t="s">
        <v>252</v>
      </c>
      <c r="H55" s="7">
        <v>643880</v>
      </c>
      <c r="I55" s="7">
        <v>154500</v>
      </c>
      <c r="J55" s="61"/>
    </row>
    <row r="56" spans="7:13" x14ac:dyDescent="0.25">
      <c r="G56" s="38" t="s">
        <v>424</v>
      </c>
    </row>
    <row r="57" spans="7:13" x14ac:dyDescent="0.25">
      <c r="G57" s="38" t="s">
        <v>425</v>
      </c>
    </row>
    <row r="59" spans="7:13" x14ac:dyDescent="0.25">
      <c r="H59" s="109" t="s">
        <v>473</v>
      </c>
      <c r="I59" s="109" t="s">
        <v>474</v>
      </c>
      <c r="K59" s="109" t="s">
        <v>474</v>
      </c>
    </row>
    <row r="61" spans="7:13" x14ac:dyDescent="0.25">
      <c r="J61" s="101" t="s">
        <v>475</v>
      </c>
      <c r="K61" s="7">
        <v>143800</v>
      </c>
      <c r="M61" s="7"/>
    </row>
    <row r="62" spans="7:13" x14ac:dyDescent="0.25">
      <c r="J62" s="101" t="s">
        <v>476</v>
      </c>
      <c r="K62" s="7">
        <v>30900</v>
      </c>
      <c r="M62" s="7"/>
    </row>
    <row r="63" spans="7:13" ht="13" thickBot="1" x14ac:dyDescent="0.3">
      <c r="K63" s="390">
        <f>SUM(K61:K62)</f>
        <v>174700</v>
      </c>
      <c r="M63" s="7"/>
    </row>
    <row r="67" spans="4:12" x14ac:dyDescent="0.25">
      <c r="H67" s="101" t="s">
        <v>477</v>
      </c>
    </row>
    <row r="68" spans="4:12" ht="13" x14ac:dyDescent="0.3">
      <c r="H68" s="1045" t="s">
        <v>417</v>
      </c>
      <c r="I68" s="1045"/>
      <c r="J68" s="1045" t="s">
        <v>418</v>
      </c>
      <c r="K68" s="1045"/>
      <c r="L68" s="109" t="s">
        <v>478</v>
      </c>
    </row>
    <row r="69" spans="4:12" ht="13" x14ac:dyDescent="0.3">
      <c r="F69" s="109" t="s">
        <v>479</v>
      </c>
      <c r="H69" s="2" t="s">
        <v>422</v>
      </c>
      <c r="I69" s="109" t="s">
        <v>480</v>
      </c>
      <c r="J69" s="2" t="s">
        <v>422</v>
      </c>
      <c r="K69" s="109" t="s">
        <v>423</v>
      </c>
      <c r="L69" s="109" t="s">
        <v>479</v>
      </c>
    </row>
    <row r="70" spans="4:12" x14ac:dyDescent="0.25">
      <c r="E70" s="109"/>
      <c r="F70" s="7">
        <v>1293</v>
      </c>
      <c r="G70" s="38" t="s">
        <v>244</v>
      </c>
      <c r="H70" s="7">
        <v>334380</v>
      </c>
      <c r="I70" s="7">
        <f>I106</f>
        <v>114500</v>
      </c>
      <c r="J70" s="7">
        <v>290560</v>
      </c>
      <c r="K70" s="7">
        <v>100800</v>
      </c>
      <c r="L70" s="7">
        <v>1169</v>
      </c>
    </row>
    <row r="71" spans="4:12" x14ac:dyDescent="0.25">
      <c r="E71" s="7"/>
      <c r="F71" s="7">
        <f>(F72+F70)/2</f>
        <v>1450.5</v>
      </c>
      <c r="G71" s="38" t="s">
        <v>245</v>
      </c>
      <c r="H71" s="7">
        <f>(H72+H70)/2</f>
        <v>371845</v>
      </c>
      <c r="I71" s="7">
        <f>(I72+I70)/2</f>
        <v>120350</v>
      </c>
      <c r="J71" s="7">
        <f>(J72+J70)/2</f>
        <v>335725</v>
      </c>
      <c r="K71" s="7">
        <v>100800</v>
      </c>
      <c r="L71" s="7">
        <f>(L72+L70)/2</f>
        <v>1316.5</v>
      </c>
    </row>
    <row r="72" spans="4:12" x14ac:dyDescent="0.25">
      <c r="E72" s="7">
        <f>H72-H70</f>
        <v>74930</v>
      </c>
      <c r="F72" s="7">
        <v>1608</v>
      </c>
      <c r="G72" s="38" t="s">
        <v>246</v>
      </c>
      <c r="H72" s="7">
        <v>409310</v>
      </c>
      <c r="I72" s="7">
        <f>J106</f>
        <v>126200</v>
      </c>
      <c r="J72" s="7">
        <v>380890</v>
      </c>
      <c r="K72" s="7">
        <v>100800</v>
      </c>
      <c r="L72" s="7">
        <v>1464</v>
      </c>
    </row>
    <row r="73" spans="4:12" x14ac:dyDescent="0.25">
      <c r="E73" s="7"/>
      <c r="F73" s="7">
        <f>(F74+F72)/2</f>
        <v>1763.5</v>
      </c>
      <c r="G73" s="38" t="s">
        <v>247</v>
      </c>
      <c r="H73" s="7">
        <f>(H74+H72)/2</f>
        <v>449760</v>
      </c>
      <c r="I73" s="7">
        <f>(I74+I72)/2</f>
        <v>132200</v>
      </c>
      <c r="J73" s="7">
        <f>(J74+J72)/2</f>
        <v>400875</v>
      </c>
      <c r="K73" s="7">
        <v>100800</v>
      </c>
      <c r="L73" s="7">
        <f>(L74+L72)/2</f>
        <v>1586.5</v>
      </c>
    </row>
    <row r="74" spans="4:12" x14ac:dyDescent="0.25">
      <c r="D74" s="7">
        <f>E74-E72</f>
        <v>5970</v>
      </c>
      <c r="E74" s="7">
        <f>H74-H72</f>
        <v>80900</v>
      </c>
      <c r="F74" s="7">
        <v>1919</v>
      </c>
      <c r="G74" s="38" t="s">
        <v>248</v>
      </c>
      <c r="H74" s="7">
        <v>490210</v>
      </c>
      <c r="I74" s="7">
        <f>K106</f>
        <v>138200</v>
      </c>
      <c r="J74" s="7">
        <v>420860</v>
      </c>
      <c r="K74" s="7">
        <v>100800</v>
      </c>
      <c r="L74" s="7">
        <v>1709</v>
      </c>
    </row>
    <row r="75" spans="4:12" x14ac:dyDescent="0.25">
      <c r="E75" s="7"/>
      <c r="F75" s="7">
        <f>(F76+F74)/2</f>
        <v>2110.5</v>
      </c>
      <c r="G75" s="38" t="s">
        <v>249</v>
      </c>
      <c r="H75" s="7">
        <f>(H76+H74)/2</f>
        <v>535990</v>
      </c>
      <c r="I75" s="7">
        <f>(I76+I74)/2</f>
        <v>149900</v>
      </c>
      <c r="J75" s="7"/>
    </row>
    <row r="76" spans="4:12" x14ac:dyDescent="0.25">
      <c r="D76" s="7">
        <f>E76-E74</f>
        <v>10660</v>
      </c>
      <c r="E76" s="7">
        <f>H76-H74</f>
        <v>91560</v>
      </c>
      <c r="F76" s="7">
        <v>2302</v>
      </c>
      <c r="G76" s="38" t="s">
        <v>250</v>
      </c>
      <c r="H76" s="7">
        <v>581770</v>
      </c>
      <c r="I76" s="7">
        <f>L106</f>
        <v>161600</v>
      </c>
      <c r="J76" s="61"/>
    </row>
    <row r="77" spans="4:12" x14ac:dyDescent="0.25">
      <c r="E77" s="7"/>
      <c r="F77" s="7">
        <f>(F78+F76)/2</f>
        <v>2530</v>
      </c>
      <c r="G77" s="38" t="s">
        <v>251</v>
      </c>
      <c r="H77" s="7">
        <f>(H78+H76)/2</f>
        <v>630997.5</v>
      </c>
      <c r="I77" s="7">
        <f>(I78+I76)/2</f>
        <v>167550</v>
      </c>
      <c r="J77" s="61"/>
    </row>
    <row r="78" spans="4:12" x14ac:dyDescent="0.25">
      <c r="D78" s="7">
        <f>E78-E76</f>
        <v>6895</v>
      </c>
      <c r="E78" s="7">
        <f>H78-H76</f>
        <v>98455</v>
      </c>
      <c r="F78" s="7">
        <v>2758</v>
      </c>
      <c r="G78" s="38" t="s">
        <v>252</v>
      </c>
      <c r="H78" s="7">
        <v>680225</v>
      </c>
      <c r="I78" s="7">
        <f>M106</f>
        <v>173500</v>
      </c>
      <c r="J78" s="61"/>
    </row>
    <row r="79" spans="4:12" x14ac:dyDescent="0.25">
      <c r="E79" s="7"/>
      <c r="G79" s="38" t="s">
        <v>424</v>
      </c>
    </row>
    <row r="80" spans="4:12" x14ac:dyDescent="0.25">
      <c r="G80" s="38" t="s">
        <v>425</v>
      </c>
    </row>
    <row r="82" spans="7:12" x14ac:dyDescent="0.25">
      <c r="H82" s="109" t="s">
        <v>473</v>
      </c>
      <c r="I82" s="109" t="s">
        <v>474</v>
      </c>
      <c r="K82" s="109" t="s">
        <v>481</v>
      </c>
      <c r="L82" s="109" t="s">
        <v>478</v>
      </c>
    </row>
    <row r="83" spans="7:12" x14ac:dyDescent="0.25">
      <c r="L83" s="109" t="s">
        <v>479</v>
      </c>
    </row>
    <row r="84" spans="7:12" x14ac:dyDescent="0.25">
      <c r="J84" s="101" t="s">
        <v>475</v>
      </c>
      <c r="K84" s="141">
        <v>153090</v>
      </c>
      <c r="L84" s="7">
        <v>568</v>
      </c>
    </row>
    <row r="85" spans="7:12" x14ac:dyDescent="0.25">
      <c r="J85" s="101" t="s">
        <v>476</v>
      </c>
      <c r="K85" s="7">
        <v>35000</v>
      </c>
    </row>
    <row r="86" spans="7:12" ht="13" thickBot="1" x14ac:dyDescent="0.3">
      <c r="K86" s="390">
        <f>SUM(K84:K85)</f>
        <v>188090</v>
      </c>
    </row>
    <row r="87" spans="7:12" x14ac:dyDescent="0.25">
      <c r="K87" s="7"/>
    </row>
    <row r="88" spans="7:12" x14ac:dyDescent="0.25">
      <c r="K88" s="7"/>
    </row>
    <row r="89" spans="7:12" ht="13" x14ac:dyDescent="0.3">
      <c r="H89" s="1045" t="s">
        <v>417</v>
      </c>
      <c r="I89" s="1045"/>
      <c r="J89" s="1045" t="s">
        <v>418</v>
      </c>
      <c r="K89" s="1045"/>
    </row>
    <row r="90" spans="7:12" ht="13" x14ac:dyDescent="0.3">
      <c r="H90" s="2" t="s">
        <v>422</v>
      </c>
      <c r="I90" s="109" t="s">
        <v>482</v>
      </c>
      <c r="J90" s="2" t="s">
        <v>422</v>
      </c>
      <c r="K90" s="109" t="s">
        <v>423</v>
      </c>
    </row>
    <row r="91" spans="7:12" x14ac:dyDescent="0.25">
      <c r="G91" s="38" t="s">
        <v>244</v>
      </c>
      <c r="H91" s="7">
        <v>334380</v>
      </c>
      <c r="I91" s="7">
        <f>I107</f>
        <v>112100</v>
      </c>
      <c r="J91" s="7">
        <v>290560</v>
      </c>
      <c r="K91" s="7">
        <v>98900</v>
      </c>
    </row>
    <row r="92" spans="7:12" x14ac:dyDescent="0.25">
      <c r="G92" s="38" t="s">
        <v>245</v>
      </c>
      <c r="H92" s="7">
        <v>371845</v>
      </c>
      <c r="I92" s="7">
        <f>(I93+I91)/2</f>
        <v>117900</v>
      </c>
      <c r="J92" s="7">
        <v>335725</v>
      </c>
      <c r="K92" s="7">
        <v>98900</v>
      </c>
    </row>
    <row r="93" spans="7:12" x14ac:dyDescent="0.25">
      <c r="G93" s="38" t="s">
        <v>246</v>
      </c>
      <c r="H93" s="7">
        <v>409310</v>
      </c>
      <c r="I93" s="108">
        <f>J107</f>
        <v>123700</v>
      </c>
      <c r="J93" s="7">
        <v>380890</v>
      </c>
      <c r="K93" s="7">
        <v>98900</v>
      </c>
    </row>
    <row r="94" spans="7:12" x14ac:dyDescent="0.25">
      <c r="G94" s="38" t="s">
        <v>247</v>
      </c>
      <c r="H94" s="7">
        <v>449760</v>
      </c>
      <c r="I94" s="7">
        <f>(I95+I93)/2</f>
        <v>129550</v>
      </c>
      <c r="J94" s="7">
        <v>400875</v>
      </c>
      <c r="K94" s="7">
        <v>98900</v>
      </c>
    </row>
    <row r="95" spans="7:12" x14ac:dyDescent="0.25">
      <c r="G95" s="38" t="s">
        <v>248</v>
      </c>
      <c r="H95" s="7">
        <v>490210</v>
      </c>
      <c r="I95" s="7">
        <f>K107</f>
        <v>135400</v>
      </c>
      <c r="J95" s="7">
        <v>420860</v>
      </c>
      <c r="K95" s="7">
        <v>98900</v>
      </c>
    </row>
    <row r="96" spans="7:12" x14ac:dyDescent="0.25">
      <c r="G96" s="38" t="s">
        <v>249</v>
      </c>
      <c r="H96" s="7">
        <v>535990</v>
      </c>
      <c r="I96" s="7">
        <f>(I97+I95)/2</f>
        <v>146900</v>
      </c>
      <c r="J96" s="7"/>
    </row>
    <row r="97" spans="6:15" x14ac:dyDescent="0.25">
      <c r="G97" s="38" t="s">
        <v>250</v>
      </c>
      <c r="H97" s="7">
        <v>581770</v>
      </c>
      <c r="I97" s="7">
        <f>L107</f>
        <v>158400</v>
      </c>
      <c r="J97" s="61"/>
    </row>
    <row r="98" spans="6:15" x14ac:dyDescent="0.25">
      <c r="G98" s="38" t="s">
        <v>251</v>
      </c>
      <c r="H98" s="7">
        <v>630997.5</v>
      </c>
      <c r="I98" s="7">
        <f>(I99+I97)/2</f>
        <v>164250</v>
      </c>
      <c r="K98" s="109" t="s">
        <v>474</v>
      </c>
    </row>
    <row r="99" spans="6:15" x14ac:dyDescent="0.25">
      <c r="G99" s="38" t="s">
        <v>252</v>
      </c>
      <c r="H99" s="7">
        <v>680225</v>
      </c>
      <c r="I99" s="7">
        <f>M107</f>
        <v>170100</v>
      </c>
    </row>
    <row r="100" spans="6:15" x14ac:dyDescent="0.25">
      <c r="G100" s="38" t="s">
        <v>424</v>
      </c>
      <c r="J100" s="101" t="s">
        <v>475</v>
      </c>
      <c r="K100" s="141">
        <v>153090</v>
      </c>
    </row>
    <row r="101" spans="6:15" x14ac:dyDescent="0.25">
      <c r="G101" s="38" t="s">
        <v>425</v>
      </c>
      <c r="J101" s="101" t="s">
        <v>476</v>
      </c>
      <c r="K101" s="7">
        <v>34400</v>
      </c>
    </row>
    <row r="102" spans="6:15" ht="13" thickBot="1" x14ac:dyDescent="0.3">
      <c r="K102" s="390">
        <f>SUM(K100:K101)</f>
        <v>187490</v>
      </c>
    </row>
    <row r="105" spans="6:15" x14ac:dyDescent="0.25">
      <c r="G105" s="2" t="s">
        <v>483</v>
      </c>
      <c r="H105" s="2" t="s">
        <v>484</v>
      </c>
      <c r="I105" s="2" t="s">
        <v>15</v>
      </c>
      <c r="J105" s="2" t="s">
        <v>16</v>
      </c>
      <c r="K105" s="2" t="s">
        <v>17</v>
      </c>
      <c r="L105" s="2" t="s">
        <v>18</v>
      </c>
      <c r="M105" s="2" t="s">
        <v>485</v>
      </c>
      <c r="N105" s="2" t="s">
        <v>486</v>
      </c>
      <c r="O105" s="109" t="s">
        <v>478</v>
      </c>
    </row>
    <row r="106" spans="6:15" ht="13" thickBot="1" x14ac:dyDescent="0.3">
      <c r="F106" s="109" t="s">
        <v>487</v>
      </c>
      <c r="G106" s="52">
        <v>35000</v>
      </c>
      <c r="H106" s="52">
        <v>102700</v>
      </c>
      <c r="I106" s="52">
        <v>114500</v>
      </c>
      <c r="J106" s="52">
        <v>126200</v>
      </c>
      <c r="K106" s="52">
        <v>138200</v>
      </c>
      <c r="L106" s="52">
        <v>161600</v>
      </c>
      <c r="M106" s="52">
        <v>173500</v>
      </c>
      <c r="N106" s="52">
        <v>185500</v>
      </c>
      <c r="O106" s="154">
        <v>97100</v>
      </c>
    </row>
    <row r="107" spans="6:15" x14ac:dyDescent="0.25">
      <c r="F107" s="109" t="s">
        <v>488</v>
      </c>
      <c r="G107" s="7">
        <v>34400</v>
      </c>
      <c r="H107" s="7">
        <v>100600</v>
      </c>
      <c r="I107" s="7">
        <v>112100</v>
      </c>
      <c r="J107" s="7">
        <v>123700</v>
      </c>
      <c r="K107" s="7">
        <v>135400</v>
      </c>
      <c r="L107" s="7">
        <v>158400</v>
      </c>
      <c r="M107" s="7">
        <v>170100</v>
      </c>
      <c r="N107" s="7">
        <v>181900</v>
      </c>
      <c r="O107" s="7">
        <v>96500</v>
      </c>
    </row>
    <row r="109" spans="6:15" x14ac:dyDescent="0.25">
      <c r="G109" s="109"/>
    </row>
  </sheetData>
  <mergeCells count="11">
    <mergeCell ref="H68:I68"/>
    <mergeCell ref="J68:K68"/>
    <mergeCell ref="H89:I89"/>
    <mergeCell ref="J89:K89"/>
    <mergeCell ref="C5:D5"/>
    <mergeCell ref="H28:I28"/>
    <mergeCell ref="J28:K28"/>
    <mergeCell ref="B29:C29"/>
    <mergeCell ref="E29:F29"/>
    <mergeCell ref="H45:I45"/>
    <mergeCell ref="J45:K4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7860-53CE-483E-A589-DB4F14BC998D}">
  <sheetPr>
    <tabColor rgb="FFFFC000"/>
  </sheetPr>
  <dimension ref="B1:AJ52"/>
  <sheetViews>
    <sheetView topLeftCell="A11" workbookViewId="0">
      <selection activeCell="F40" sqref="F40"/>
    </sheetView>
  </sheetViews>
  <sheetFormatPr defaultRowHeight="12.5" x14ac:dyDescent="0.25"/>
  <cols>
    <col min="3" max="3" width="28.81640625" bestFit="1" customWidth="1"/>
    <col min="4" max="4" width="12.453125" customWidth="1"/>
    <col min="5" max="5" width="13.54296875" customWidth="1"/>
    <col min="6" max="6" width="14.453125" customWidth="1"/>
    <col min="7" max="10" width="14" customWidth="1"/>
    <col min="11" max="11" width="12.26953125" bestFit="1" customWidth="1"/>
    <col min="12" max="15" width="11.81640625" customWidth="1"/>
    <col min="16" max="16" width="18.26953125" customWidth="1"/>
    <col min="17" max="17" width="11.81640625" style="2" bestFit="1" customWidth="1"/>
    <col min="18" max="18" width="12" style="2" bestFit="1" customWidth="1"/>
    <col min="19" max="19" width="13.08984375" style="2" customWidth="1"/>
    <col min="20" max="20" width="13.26953125" customWidth="1"/>
    <col min="21" max="21" width="28.81640625" bestFit="1" customWidth="1"/>
    <col min="22" max="22" width="27.1796875" customWidth="1"/>
    <col min="23" max="23" width="10" customWidth="1"/>
    <col min="24" max="24" width="11.1796875" customWidth="1"/>
    <col min="25" max="25" width="10.90625" bestFit="1" customWidth="1"/>
    <col min="26" max="26" width="9.90625" bestFit="1" customWidth="1"/>
    <col min="27" max="27" width="10.90625" bestFit="1" customWidth="1"/>
    <col min="29" max="29" width="25.36328125" bestFit="1" customWidth="1"/>
    <col min="30" max="30" width="9.90625" bestFit="1" customWidth="1"/>
    <col min="31" max="31" width="10.6328125" bestFit="1" customWidth="1"/>
    <col min="32" max="32" width="10.90625" bestFit="1" customWidth="1"/>
    <col min="33" max="33" width="9.90625" bestFit="1" customWidth="1"/>
    <col min="34" max="34" width="10.90625" bestFit="1" customWidth="1"/>
    <col min="35" max="36" width="9.90625" bestFit="1" customWidth="1"/>
  </cols>
  <sheetData>
    <row r="1" spans="3:24" x14ac:dyDescent="0.25">
      <c r="P1" s="1044" t="s">
        <v>426</v>
      </c>
      <c r="Q1" s="1044"/>
      <c r="R1" s="1044"/>
      <c r="S1" s="1044"/>
    </row>
    <row r="2" spans="3:24" s="707" customFormat="1" ht="58" x14ac:dyDescent="0.35">
      <c r="C2" s="704" t="s">
        <v>49</v>
      </c>
      <c r="D2" s="705" t="s">
        <v>427</v>
      </c>
      <c r="E2" s="705" t="s">
        <v>428</v>
      </c>
      <c r="F2" s="705" t="s">
        <v>429</v>
      </c>
      <c r="G2" s="705" t="s">
        <v>430</v>
      </c>
      <c r="H2" s="705" t="s">
        <v>431</v>
      </c>
      <c r="I2" s="705" t="s">
        <v>432</v>
      </c>
      <c r="J2" s="705" t="s">
        <v>433</v>
      </c>
      <c r="K2" s="705" t="s">
        <v>434</v>
      </c>
      <c r="L2" s="706">
        <v>3.4000000000000002E-2</v>
      </c>
      <c r="P2" s="704" t="s">
        <v>49</v>
      </c>
      <c r="Q2" s="705" t="s">
        <v>428</v>
      </c>
      <c r="R2" s="708" t="s">
        <v>429</v>
      </c>
      <c r="S2" s="709" t="s">
        <v>435</v>
      </c>
      <c r="U2" s="710" t="s">
        <v>49</v>
      </c>
      <c r="V2" s="711" t="s">
        <v>436</v>
      </c>
      <c r="W2" s="711" t="s">
        <v>437</v>
      </c>
      <c r="X2" s="711" t="s">
        <v>438</v>
      </c>
    </row>
    <row r="3" spans="3:24" ht="14.5" x14ac:dyDescent="0.35">
      <c r="C3" s="712" t="s">
        <v>439</v>
      </c>
      <c r="D3" s="713">
        <v>126</v>
      </c>
      <c r="E3" s="8">
        <f t="shared" ref="E3:E19" si="0">+D3*10000</f>
        <v>1260000</v>
      </c>
      <c r="F3" s="8">
        <f>R3</f>
        <v>906127.43040856393</v>
      </c>
      <c r="G3" s="8">
        <f>X3</f>
        <v>60108.768969808189</v>
      </c>
      <c r="H3" s="8">
        <f t="shared" ref="H3:H19" si="1">SUM(F3:G3)</f>
        <v>966236.19937837217</v>
      </c>
      <c r="I3" s="8">
        <f>+H3/S3</f>
        <v>8377.770514841377</v>
      </c>
      <c r="J3" s="8">
        <f t="shared" ref="J3:J19" si="2">+I3*D3</f>
        <v>1055599.0848700134</v>
      </c>
      <c r="K3" s="8">
        <f t="shared" ref="K3:K19" si="3">+J3+E3</f>
        <v>2315599.0848700134</v>
      </c>
      <c r="L3" s="8">
        <f t="shared" ref="L3:L19" si="4">+K3*3.4%</f>
        <v>78730.368885580465</v>
      </c>
      <c r="P3" s="67" t="s">
        <v>333</v>
      </c>
      <c r="Q3" s="8">
        <v>1153333.3333333333</v>
      </c>
      <c r="R3" s="714">
        <v>906127.43040856393</v>
      </c>
      <c r="S3" s="713">
        <v>115.33333333333333</v>
      </c>
      <c r="T3" s="715"/>
      <c r="U3" s="68" t="s">
        <v>333</v>
      </c>
      <c r="V3" s="716">
        <v>61714.047666331258</v>
      </c>
      <c r="W3" s="717">
        <v>1605.2786965230664</v>
      </c>
      <c r="X3" s="717">
        <f t="shared" ref="X3:X25" si="5">V3-W3</f>
        <v>60108.768969808189</v>
      </c>
    </row>
    <row r="4" spans="3:24" ht="14.5" x14ac:dyDescent="0.35">
      <c r="C4" s="718" t="s">
        <v>259</v>
      </c>
      <c r="D4" s="713">
        <v>90</v>
      </c>
      <c r="E4" s="8">
        <f t="shared" si="0"/>
        <v>900000</v>
      </c>
      <c r="F4" s="8">
        <f>R4</f>
        <v>782784.52055189444</v>
      </c>
      <c r="G4" s="8">
        <f>X4</f>
        <v>47798.131374228775</v>
      </c>
      <c r="H4" s="8">
        <f t="shared" si="1"/>
        <v>830582.65192612319</v>
      </c>
      <c r="I4" s="8">
        <f>+H4/S4</f>
        <v>9376.285816663667</v>
      </c>
      <c r="J4" s="8">
        <f t="shared" si="2"/>
        <v>843865.72349973</v>
      </c>
      <c r="K4" s="8">
        <f t="shared" si="3"/>
        <v>1743865.72349973</v>
      </c>
      <c r="L4" s="8">
        <f t="shared" si="4"/>
        <v>59291.434598990825</v>
      </c>
      <c r="P4" s="67" t="s">
        <v>259</v>
      </c>
      <c r="Q4" s="8">
        <v>885833.33333333337</v>
      </c>
      <c r="R4" s="714">
        <v>782784.52055189444</v>
      </c>
      <c r="S4" s="713">
        <v>88.583333333333343</v>
      </c>
      <c r="T4" s="719"/>
      <c r="U4" s="68" t="s">
        <v>259</v>
      </c>
      <c r="V4" s="716">
        <v>50058.53561655683</v>
      </c>
      <c r="W4" s="717">
        <v>2260.4042423280575</v>
      </c>
      <c r="X4" s="717">
        <f t="shared" si="5"/>
        <v>47798.131374228775</v>
      </c>
    </row>
    <row r="5" spans="3:24" ht="14.5" x14ac:dyDescent="0.35">
      <c r="C5" s="718" t="s">
        <v>260</v>
      </c>
      <c r="D5" s="713">
        <v>89</v>
      </c>
      <c r="E5" s="8">
        <f t="shared" si="0"/>
        <v>890000</v>
      </c>
      <c r="F5" s="8">
        <f>R5</f>
        <v>616293.34814622696</v>
      </c>
      <c r="G5" s="8">
        <f>X5</f>
        <v>42008.458118403309</v>
      </c>
      <c r="H5" s="8">
        <f t="shared" si="1"/>
        <v>658301.80626463029</v>
      </c>
      <c r="I5" s="8">
        <f>+H5/S5</f>
        <v>7798.2444967182264</v>
      </c>
      <c r="J5" s="8">
        <f t="shared" si="2"/>
        <v>694043.7602079222</v>
      </c>
      <c r="K5" s="8">
        <f t="shared" si="3"/>
        <v>1584043.7602079222</v>
      </c>
      <c r="L5" s="8">
        <f t="shared" si="4"/>
        <v>53857.487847069358</v>
      </c>
      <c r="P5" s="67" t="s">
        <v>260</v>
      </c>
      <c r="Q5" s="8">
        <v>844166.66666666674</v>
      </c>
      <c r="R5" s="714">
        <v>616293.34814622696</v>
      </c>
      <c r="S5" s="713">
        <v>84.416666666666671</v>
      </c>
      <c r="T5" s="715"/>
      <c r="U5" s="68" t="s">
        <v>260</v>
      </c>
      <c r="V5" s="716">
        <v>43556.364456440686</v>
      </c>
      <c r="W5" s="717">
        <v>1547.9063380373802</v>
      </c>
      <c r="X5" s="717">
        <f t="shared" si="5"/>
        <v>42008.458118403309</v>
      </c>
    </row>
    <row r="6" spans="3:24" ht="14.5" x14ac:dyDescent="0.35">
      <c r="C6" s="718" t="s">
        <v>261</v>
      </c>
      <c r="D6" s="713">
        <v>88</v>
      </c>
      <c r="E6" s="8">
        <f t="shared" si="0"/>
        <v>880000</v>
      </c>
      <c r="F6" s="8">
        <f t="shared" ref="F6:F11" si="6">R7</f>
        <v>645024.83394405304</v>
      </c>
      <c r="G6" s="8">
        <f t="shared" ref="G6:G11" si="7">X7</f>
        <v>44464.339376740681</v>
      </c>
      <c r="H6" s="8">
        <f t="shared" si="1"/>
        <v>689489.17332079378</v>
      </c>
      <c r="I6" s="8">
        <f t="shared" ref="I6:I11" si="8">+H6/S7</f>
        <v>7986.3610809358343</v>
      </c>
      <c r="J6" s="8">
        <f t="shared" si="2"/>
        <v>702799.77512235346</v>
      </c>
      <c r="K6" s="8">
        <f t="shared" si="3"/>
        <v>1582799.7751223533</v>
      </c>
      <c r="L6" s="8">
        <f t="shared" si="4"/>
        <v>53815.192354160019</v>
      </c>
      <c r="P6" s="720" t="s">
        <v>65</v>
      </c>
      <c r="Q6" s="721">
        <v>611666.66666666674</v>
      </c>
      <c r="R6" s="722">
        <v>708444.52448002994</v>
      </c>
      <c r="S6" s="723">
        <v>61.166666666666671</v>
      </c>
      <c r="T6" s="719"/>
      <c r="U6" s="68" t="s">
        <v>65</v>
      </c>
      <c r="V6" s="716">
        <v>39603.335734400898</v>
      </c>
      <c r="W6" s="717">
        <v>3237.3298965450335</v>
      </c>
      <c r="X6" s="717">
        <f t="shared" si="5"/>
        <v>36366.005837855868</v>
      </c>
    </row>
    <row r="7" spans="3:24" ht="14.5" x14ac:dyDescent="0.35">
      <c r="C7" s="718" t="s">
        <v>169</v>
      </c>
      <c r="D7" s="713">
        <v>80</v>
      </c>
      <c r="E7" s="8">
        <f t="shared" si="0"/>
        <v>800000</v>
      </c>
      <c r="F7" s="8">
        <f t="shared" si="6"/>
        <v>920969.4617848706</v>
      </c>
      <c r="G7" s="8">
        <f t="shared" si="7"/>
        <v>52023.215273296963</v>
      </c>
      <c r="H7" s="8">
        <f t="shared" si="1"/>
        <v>972992.67705816752</v>
      </c>
      <c r="I7" s="8">
        <f t="shared" si="8"/>
        <v>12099.390802795864</v>
      </c>
      <c r="J7" s="8">
        <f t="shared" si="2"/>
        <v>967951.26422366919</v>
      </c>
      <c r="K7" s="8">
        <f t="shared" si="3"/>
        <v>1767951.2642236692</v>
      </c>
      <c r="L7" s="8">
        <f t="shared" si="4"/>
        <v>60110.342983604758</v>
      </c>
      <c r="P7" s="67" t="s">
        <v>261</v>
      </c>
      <c r="Q7" s="8">
        <v>863333.33333333337</v>
      </c>
      <c r="R7" s="714">
        <v>645024.83394405304</v>
      </c>
      <c r="S7" s="713">
        <v>86.333333333333343</v>
      </c>
      <c r="T7" s="719"/>
      <c r="U7" s="68" t="s">
        <v>261</v>
      </c>
      <c r="V7" s="716">
        <v>44985.405853811862</v>
      </c>
      <c r="W7" s="717">
        <v>521.06647707117941</v>
      </c>
      <c r="X7" s="717">
        <f t="shared" si="5"/>
        <v>44464.339376740681</v>
      </c>
    </row>
    <row r="8" spans="3:24" ht="14.5" x14ac:dyDescent="0.35">
      <c r="C8" s="718" t="s">
        <v>269</v>
      </c>
      <c r="D8" s="713">
        <v>112</v>
      </c>
      <c r="E8" s="8">
        <f t="shared" si="0"/>
        <v>1120000</v>
      </c>
      <c r="F8" s="8">
        <f t="shared" si="6"/>
        <v>461109.21317218104</v>
      </c>
      <c r="G8" s="8">
        <f t="shared" si="7"/>
        <v>43962.085447780861</v>
      </c>
      <c r="H8" s="8">
        <f t="shared" si="1"/>
        <v>505071.29861996189</v>
      </c>
      <c r="I8" s="8">
        <f t="shared" si="8"/>
        <v>4757.3434720875521</v>
      </c>
      <c r="J8" s="8">
        <f t="shared" si="2"/>
        <v>532822.46887380583</v>
      </c>
      <c r="K8" s="8">
        <f t="shared" si="3"/>
        <v>1652822.4688738058</v>
      </c>
      <c r="L8" s="8">
        <f t="shared" si="4"/>
        <v>56195.9639417094</v>
      </c>
      <c r="P8" s="13" t="s">
        <v>169</v>
      </c>
      <c r="Q8" s="8">
        <v>804166.66666666674</v>
      </c>
      <c r="R8" s="714">
        <v>920969.4617848706</v>
      </c>
      <c r="S8" s="713">
        <v>80.416666666666671</v>
      </c>
      <c r="T8" s="719"/>
      <c r="U8" s="724" t="s">
        <v>169</v>
      </c>
      <c r="V8" s="716">
        <v>57770.313853546118</v>
      </c>
      <c r="W8" s="717">
        <v>5747.0985802491568</v>
      </c>
      <c r="X8" s="717">
        <f t="shared" si="5"/>
        <v>52023.215273296963</v>
      </c>
    </row>
    <row r="9" spans="3:24" ht="14.5" x14ac:dyDescent="0.35">
      <c r="C9" s="718" t="s">
        <v>126</v>
      </c>
      <c r="D9" s="713">
        <v>101</v>
      </c>
      <c r="E9" s="8">
        <f t="shared" si="0"/>
        <v>1010000</v>
      </c>
      <c r="F9" s="8">
        <f t="shared" si="6"/>
        <v>467888.47584672458</v>
      </c>
      <c r="G9" s="8">
        <f t="shared" si="7"/>
        <v>43646.521287627344</v>
      </c>
      <c r="H9" s="8">
        <f t="shared" si="1"/>
        <v>511534.99713435193</v>
      </c>
      <c r="I9" s="8">
        <f t="shared" si="8"/>
        <v>5106.8385737206509</v>
      </c>
      <c r="J9" s="8">
        <f t="shared" si="2"/>
        <v>515790.69594578573</v>
      </c>
      <c r="K9" s="8">
        <f t="shared" si="3"/>
        <v>1525790.6959457858</v>
      </c>
      <c r="L9" s="8">
        <f t="shared" si="4"/>
        <v>51876.883662156724</v>
      </c>
      <c r="P9" s="67" t="s">
        <v>269</v>
      </c>
      <c r="Q9" s="8">
        <v>1061666.6666666667</v>
      </c>
      <c r="R9" s="714">
        <v>461109.21317218104</v>
      </c>
      <c r="S9" s="713">
        <v>106.16666666666669</v>
      </c>
      <c r="T9" s="719"/>
      <c r="U9" s="68" t="s">
        <v>269</v>
      </c>
      <c r="V9" s="716">
        <v>45683.276395165434</v>
      </c>
      <c r="W9" s="717">
        <v>1721.1909473845701</v>
      </c>
      <c r="X9" s="717">
        <f t="shared" si="5"/>
        <v>43962.085447780861</v>
      </c>
    </row>
    <row r="10" spans="3:24" ht="14.5" x14ac:dyDescent="0.35">
      <c r="C10" s="718" t="s">
        <v>270</v>
      </c>
      <c r="D10" s="713">
        <v>124</v>
      </c>
      <c r="E10" s="8">
        <f t="shared" si="0"/>
        <v>1240000</v>
      </c>
      <c r="F10" s="8">
        <f t="shared" si="6"/>
        <v>484497.03719841107</v>
      </c>
      <c r="G10" s="8">
        <f t="shared" si="7"/>
        <v>43594.581115524605</v>
      </c>
      <c r="H10" s="8">
        <f t="shared" si="1"/>
        <v>528091.6183139357</v>
      </c>
      <c r="I10" s="8">
        <f t="shared" si="8"/>
        <v>4322.7144746024751</v>
      </c>
      <c r="J10" s="8">
        <f t="shared" si="2"/>
        <v>536016.59485070687</v>
      </c>
      <c r="K10" s="8">
        <f t="shared" si="3"/>
        <v>1776016.5948507069</v>
      </c>
      <c r="L10" s="8">
        <f t="shared" si="4"/>
        <v>60384.564224924041</v>
      </c>
      <c r="P10" s="67" t="s">
        <v>126</v>
      </c>
      <c r="Q10" s="8">
        <v>1001666.6666666667</v>
      </c>
      <c r="R10" s="714">
        <v>467888.47584672458</v>
      </c>
      <c r="S10" s="713">
        <v>100.16666666666667</v>
      </c>
      <c r="T10" s="719"/>
      <c r="U10" s="68" t="s">
        <v>126</v>
      </c>
      <c r="V10" s="716">
        <v>44086.654275401736</v>
      </c>
      <c r="W10" s="717">
        <v>440.13298777439314</v>
      </c>
      <c r="X10" s="717">
        <f t="shared" si="5"/>
        <v>43646.521287627344</v>
      </c>
    </row>
    <row r="11" spans="3:24" ht="14.5" x14ac:dyDescent="0.35">
      <c r="C11" s="718" t="s">
        <v>262</v>
      </c>
      <c r="D11" s="713">
        <v>159</v>
      </c>
      <c r="E11" s="8">
        <f t="shared" si="0"/>
        <v>1590000</v>
      </c>
      <c r="F11" s="8">
        <f t="shared" si="6"/>
        <v>534980.78324114066</v>
      </c>
      <c r="G11" s="8">
        <f t="shared" si="7"/>
        <v>58718.411281137822</v>
      </c>
      <c r="H11" s="8">
        <f t="shared" si="1"/>
        <v>593699.1945222785</v>
      </c>
      <c r="I11" s="8">
        <f t="shared" si="8"/>
        <v>3813.9134551752363</v>
      </c>
      <c r="J11" s="8">
        <f t="shared" si="2"/>
        <v>606412.23937286262</v>
      </c>
      <c r="K11" s="8">
        <f t="shared" si="3"/>
        <v>2196412.2393728625</v>
      </c>
      <c r="L11" s="8">
        <f t="shared" si="4"/>
        <v>74678.016138677325</v>
      </c>
      <c r="P11" s="67" t="s">
        <v>270</v>
      </c>
      <c r="Q11" s="8">
        <v>1221666.6666666667</v>
      </c>
      <c r="R11" s="714">
        <v>484497.03719841107</v>
      </c>
      <c r="S11" s="713">
        <v>122.16666666666667</v>
      </c>
      <c r="T11" s="719"/>
      <c r="U11" s="68" t="s">
        <v>270</v>
      </c>
      <c r="V11" s="716">
        <v>50164.565082699439</v>
      </c>
      <c r="W11" s="717">
        <v>6569.9839671748314</v>
      </c>
      <c r="X11" s="717">
        <f t="shared" si="5"/>
        <v>43594.581115524605</v>
      </c>
    </row>
    <row r="12" spans="3:24" ht="14.5" x14ac:dyDescent="0.35">
      <c r="C12" s="718" t="s">
        <v>334</v>
      </c>
      <c r="D12" s="713">
        <v>202</v>
      </c>
      <c r="E12" s="8">
        <f t="shared" si="0"/>
        <v>2020000</v>
      </c>
      <c r="F12" s="725">
        <f>R6+R13</f>
        <v>1205281.7917231559</v>
      </c>
      <c r="G12" s="8">
        <f>X6+X13</f>
        <v>87148.384877222183</v>
      </c>
      <c r="H12" s="8">
        <f t="shared" si="1"/>
        <v>1292430.176600378</v>
      </c>
      <c r="I12" s="8">
        <f>+H12/(S6+S13)</f>
        <v>6497.344834187069</v>
      </c>
      <c r="J12" s="8">
        <f t="shared" si="2"/>
        <v>1312463.656505788</v>
      </c>
      <c r="K12" s="8">
        <f t="shared" si="3"/>
        <v>3332463.6565057877</v>
      </c>
      <c r="L12" s="8">
        <f t="shared" si="4"/>
        <v>113303.7643211968</v>
      </c>
      <c r="P12" s="67" t="s">
        <v>262</v>
      </c>
      <c r="Q12" s="8">
        <v>1556666.6666666667</v>
      </c>
      <c r="R12" s="714">
        <v>534980.78324114066</v>
      </c>
      <c r="S12" s="713">
        <v>155.66666666666669</v>
      </c>
      <c r="T12" s="719"/>
      <c r="U12" s="68" t="s">
        <v>262</v>
      </c>
      <c r="V12" s="716">
        <v>62749.423497234224</v>
      </c>
      <c r="W12" s="717">
        <v>4031.0122160964006</v>
      </c>
      <c r="X12" s="717">
        <f t="shared" si="5"/>
        <v>58718.411281137822</v>
      </c>
    </row>
    <row r="13" spans="3:24" ht="14.5" x14ac:dyDescent="0.35">
      <c r="C13" s="718" t="s">
        <v>278</v>
      </c>
      <c r="D13" s="713">
        <v>79</v>
      </c>
      <c r="E13" s="8">
        <f t="shared" si="0"/>
        <v>790000</v>
      </c>
      <c r="F13" s="8">
        <f t="shared" ref="F13:F19" si="9">R14</f>
        <v>888627.89187889441</v>
      </c>
      <c r="G13" s="8">
        <f t="shared" ref="G13:G19" si="10">X14</f>
        <v>57248.980020255687</v>
      </c>
      <c r="H13" s="8">
        <f t="shared" si="1"/>
        <v>945876.87189915008</v>
      </c>
      <c r="I13" s="8">
        <f t="shared" ref="I13:I19" si="11">+H13/S14</f>
        <v>12036.609186415482</v>
      </c>
      <c r="J13" s="8">
        <f t="shared" si="2"/>
        <v>950892.12572682311</v>
      </c>
      <c r="K13" s="8">
        <f t="shared" si="3"/>
        <v>1740892.1257268232</v>
      </c>
      <c r="L13" s="8">
        <f t="shared" si="4"/>
        <v>59190.332274711996</v>
      </c>
      <c r="P13" s="67" t="s">
        <v>160</v>
      </c>
      <c r="Q13" s="8">
        <v>1377500</v>
      </c>
      <c r="R13" s="714">
        <v>496837.26724312594</v>
      </c>
      <c r="S13" s="713">
        <v>137.75</v>
      </c>
      <c r="T13" s="719"/>
      <c r="U13" s="68" t="s">
        <v>160</v>
      </c>
      <c r="V13" s="716">
        <v>55189.528305110151</v>
      </c>
      <c r="W13" s="717">
        <v>4407.1492657438303</v>
      </c>
      <c r="X13" s="717">
        <f t="shared" si="5"/>
        <v>50782.379039366322</v>
      </c>
    </row>
    <row r="14" spans="3:24" ht="14.5" x14ac:dyDescent="0.35">
      <c r="C14" s="718" t="s">
        <v>266</v>
      </c>
      <c r="D14" s="713">
        <v>104</v>
      </c>
      <c r="E14" s="8">
        <f t="shared" si="0"/>
        <v>1040000</v>
      </c>
      <c r="F14" s="8">
        <f t="shared" si="9"/>
        <v>1025619.1564844754</v>
      </c>
      <c r="G14" s="8">
        <f t="shared" si="10"/>
        <v>69731.662840094461</v>
      </c>
      <c r="H14" s="8">
        <f t="shared" si="1"/>
        <v>1095350.8193245698</v>
      </c>
      <c r="I14" s="8">
        <f t="shared" si="11"/>
        <v>10532.219416582402</v>
      </c>
      <c r="J14" s="8">
        <f t="shared" si="2"/>
        <v>1095350.8193245698</v>
      </c>
      <c r="K14" s="8">
        <f t="shared" si="3"/>
        <v>2135350.8193245698</v>
      </c>
      <c r="L14" s="8">
        <f t="shared" si="4"/>
        <v>72601.927857035378</v>
      </c>
      <c r="P14" s="13" t="s">
        <v>278</v>
      </c>
      <c r="Q14" s="8">
        <v>785833.33333333337</v>
      </c>
      <c r="R14" s="714">
        <v>888627.89187889441</v>
      </c>
      <c r="S14" s="713">
        <v>78.583333333333343</v>
      </c>
      <c r="T14" s="719"/>
      <c r="U14" s="724" t="s">
        <v>278</v>
      </c>
      <c r="V14" s="716">
        <v>58744.056756366823</v>
      </c>
      <c r="W14" s="717">
        <v>1495.0767361111384</v>
      </c>
      <c r="X14" s="717">
        <f t="shared" si="5"/>
        <v>57248.980020255687</v>
      </c>
    </row>
    <row r="15" spans="3:24" ht="14.5" x14ac:dyDescent="0.35">
      <c r="C15" s="718" t="s">
        <v>268</v>
      </c>
      <c r="D15" s="713">
        <v>70</v>
      </c>
      <c r="E15" s="8">
        <f t="shared" si="0"/>
        <v>700000</v>
      </c>
      <c r="F15" s="8">
        <f t="shared" si="9"/>
        <v>853316.79185140773</v>
      </c>
      <c r="G15" s="8">
        <f t="shared" si="10"/>
        <v>52082.575981598558</v>
      </c>
      <c r="H15" s="8">
        <f t="shared" si="1"/>
        <v>905399.36783300631</v>
      </c>
      <c r="I15" s="8">
        <f t="shared" si="11"/>
        <v>12782.108722348323</v>
      </c>
      <c r="J15" s="8">
        <f t="shared" si="2"/>
        <v>894747.61056438263</v>
      </c>
      <c r="K15" s="8">
        <f t="shared" si="3"/>
        <v>1594747.6105643827</v>
      </c>
      <c r="L15" s="8">
        <f t="shared" si="4"/>
        <v>54221.418759189015</v>
      </c>
      <c r="P15" s="13" t="s">
        <v>266</v>
      </c>
      <c r="Q15" s="8">
        <v>1040000</v>
      </c>
      <c r="R15" s="714">
        <v>1025619.1564844754</v>
      </c>
      <c r="S15" s="713">
        <v>104</v>
      </c>
      <c r="T15" s="719"/>
      <c r="U15" s="724" t="s">
        <v>266</v>
      </c>
      <c r="V15" s="716">
        <v>74763.844694534258</v>
      </c>
      <c r="W15" s="717">
        <v>5032.1818544397966</v>
      </c>
      <c r="X15" s="717">
        <f t="shared" si="5"/>
        <v>69731.662840094461</v>
      </c>
    </row>
    <row r="16" spans="3:24" ht="14.5" x14ac:dyDescent="0.35">
      <c r="C16" s="718" t="s">
        <v>70</v>
      </c>
      <c r="D16" s="713">
        <v>135</v>
      </c>
      <c r="E16" s="8">
        <f t="shared" si="0"/>
        <v>1350000</v>
      </c>
      <c r="F16" s="8">
        <f t="shared" si="9"/>
        <v>944486.86598736909</v>
      </c>
      <c r="G16" s="8">
        <f t="shared" si="10"/>
        <v>62128.622838149277</v>
      </c>
      <c r="H16" s="8">
        <f t="shared" si="1"/>
        <v>1006615.4888255184</v>
      </c>
      <c r="I16" s="8">
        <f t="shared" si="11"/>
        <v>7748.1628389392044</v>
      </c>
      <c r="J16" s="8">
        <f t="shared" si="2"/>
        <v>1046001.9832567926</v>
      </c>
      <c r="K16" s="8">
        <f t="shared" si="3"/>
        <v>2396001.9832567926</v>
      </c>
      <c r="L16" s="8">
        <f t="shared" si="4"/>
        <v>81464.067430730953</v>
      </c>
      <c r="P16" s="13" t="s">
        <v>268</v>
      </c>
      <c r="Q16" s="8">
        <v>708333.33333333337</v>
      </c>
      <c r="R16" s="714">
        <v>853316.79185140773</v>
      </c>
      <c r="S16" s="713">
        <v>70.833333333333343</v>
      </c>
      <c r="T16" s="719"/>
      <c r="U16" s="724" t="s">
        <v>268</v>
      </c>
      <c r="V16" s="716">
        <v>56038.214663745282</v>
      </c>
      <c r="W16" s="717">
        <v>3955.6386821467263</v>
      </c>
      <c r="X16" s="717">
        <f t="shared" si="5"/>
        <v>52082.575981598558</v>
      </c>
    </row>
    <row r="17" spans="2:36" ht="14.5" x14ac:dyDescent="0.35">
      <c r="C17" s="718" t="s">
        <v>263</v>
      </c>
      <c r="D17" s="713">
        <v>178</v>
      </c>
      <c r="E17" s="8">
        <f t="shared" si="0"/>
        <v>1780000</v>
      </c>
      <c r="F17" s="8">
        <f>R18</f>
        <v>600502.84805452451</v>
      </c>
      <c r="G17" s="8">
        <f>X18</f>
        <v>67466.380431067868</v>
      </c>
      <c r="H17" s="8">
        <f t="shared" si="1"/>
        <v>667969.22848559241</v>
      </c>
      <c r="I17" s="8">
        <f t="shared" si="11"/>
        <v>3833.395859314734</v>
      </c>
      <c r="J17" s="8">
        <f t="shared" si="2"/>
        <v>682344.4629580226</v>
      </c>
      <c r="K17" s="8">
        <f t="shared" si="3"/>
        <v>2462344.4629580225</v>
      </c>
      <c r="L17" s="8">
        <f t="shared" si="4"/>
        <v>83719.711740572777</v>
      </c>
      <c r="P17" s="67" t="s">
        <v>70</v>
      </c>
      <c r="Q17" s="8">
        <v>1299166.6666666667</v>
      </c>
      <c r="R17" s="714">
        <v>944486.86598736909</v>
      </c>
      <c r="S17" s="713">
        <v>129.91666666666669</v>
      </c>
      <c r="T17" s="719"/>
      <c r="U17" s="68" t="s">
        <v>70</v>
      </c>
      <c r="V17" s="716">
        <v>67309.605979621076</v>
      </c>
      <c r="W17" s="717">
        <v>5180.9831414718019</v>
      </c>
      <c r="X17" s="717">
        <f t="shared" si="5"/>
        <v>62128.622838149277</v>
      </c>
    </row>
    <row r="18" spans="2:36" ht="14.5" x14ac:dyDescent="0.35">
      <c r="C18" s="718" t="s">
        <v>72</v>
      </c>
      <c r="D18" s="713">
        <v>225</v>
      </c>
      <c r="E18" s="8">
        <f t="shared" si="0"/>
        <v>2250000</v>
      </c>
      <c r="F18" s="8">
        <f t="shared" si="9"/>
        <v>742764.87288844166</v>
      </c>
      <c r="G18" s="8">
        <f t="shared" si="10"/>
        <v>90232.946186653251</v>
      </c>
      <c r="H18" s="8">
        <f t="shared" si="1"/>
        <v>832997.81907509489</v>
      </c>
      <c r="I18" s="8">
        <f t="shared" si="11"/>
        <v>3677.6945654529577</v>
      </c>
      <c r="J18" s="8">
        <f t="shared" si="2"/>
        <v>827481.27722691547</v>
      </c>
      <c r="K18" s="8">
        <f t="shared" si="3"/>
        <v>3077481.2772269156</v>
      </c>
      <c r="L18" s="8">
        <f t="shared" si="4"/>
        <v>104634.36342571514</v>
      </c>
      <c r="P18" s="67" t="s">
        <v>263</v>
      </c>
      <c r="Q18" s="8">
        <v>1742500</v>
      </c>
      <c r="R18" s="714">
        <v>600502.84805452451</v>
      </c>
      <c r="S18" s="713">
        <v>174.25</v>
      </c>
      <c r="T18" s="719"/>
      <c r="U18" s="68" t="s">
        <v>263</v>
      </c>
      <c r="V18" s="716">
        <v>70290.085441635732</v>
      </c>
      <c r="W18" s="717">
        <v>2823.7050105678609</v>
      </c>
      <c r="X18" s="717">
        <f t="shared" si="5"/>
        <v>67466.380431067868</v>
      </c>
    </row>
    <row r="19" spans="2:36" ht="14.5" x14ac:dyDescent="0.35">
      <c r="C19" s="718" t="s">
        <v>73</v>
      </c>
      <c r="D19" s="713">
        <v>166</v>
      </c>
      <c r="E19" s="8">
        <f t="shared" si="0"/>
        <v>1660000</v>
      </c>
      <c r="F19" s="8">
        <f t="shared" si="9"/>
        <v>1487641.8040477117</v>
      </c>
      <c r="G19" s="8">
        <f t="shared" si="10"/>
        <v>92341.581815730024</v>
      </c>
      <c r="H19" s="8">
        <f t="shared" si="1"/>
        <v>1579983.3858634417</v>
      </c>
      <c r="I19" s="8">
        <f t="shared" si="11"/>
        <v>9590.1874710982811</v>
      </c>
      <c r="J19" s="8">
        <f t="shared" si="2"/>
        <v>1591971.1202023146</v>
      </c>
      <c r="K19" s="8">
        <f t="shared" si="3"/>
        <v>3251971.1202023146</v>
      </c>
      <c r="L19" s="8">
        <f t="shared" si="4"/>
        <v>110567.0180868787</v>
      </c>
      <c r="P19" s="67" t="s">
        <v>72</v>
      </c>
      <c r="Q19" s="8">
        <v>2265000</v>
      </c>
      <c r="R19" s="714">
        <v>742764.87288844166</v>
      </c>
      <c r="S19" s="713">
        <v>226.5</v>
      </c>
      <c r="T19" s="719"/>
      <c r="U19" s="68" t="s">
        <v>72</v>
      </c>
      <c r="V19" s="716">
        <v>90232.946186653251</v>
      </c>
      <c r="W19" s="717">
        <v>0</v>
      </c>
      <c r="X19" s="717">
        <f t="shared" si="5"/>
        <v>90232.946186653251</v>
      </c>
    </row>
    <row r="20" spans="2:36" ht="14.5" x14ac:dyDescent="0.35">
      <c r="P20" s="67" t="s">
        <v>73</v>
      </c>
      <c r="Q20" s="8">
        <v>1647500</v>
      </c>
      <c r="R20" s="714">
        <v>1487641.8040477117</v>
      </c>
      <c r="S20" s="713">
        <v>164.75</v>
      </c>
      <c r="T20" s="719"/>
      <c r="U20" s="68" t="s">
        <v>73</v>
      </c>
      <c r="V20" s="716">
        <v>94054.254121431353</v>
      </c>
      <c r="W20" s="717">
        <v>1712.672305701333</v>
      </c>
      <c r="X20" s="717">
        <f t="shared" si="5"/>
        <v>92341.581815730024</v>
      </c>
    </row>
    <row r="21" spans="2:36" x14ac:dyDescent="0.25">
      <c r="D21" s="37">
        <f t="shared" ref="D21:L21" si="12">SUM(D3:D19)</f>
        <v>2128</v>
      </c>
      <c r="E21" s="7">
        <f t="shared" si="12"/>
        <v>21280000</v>
      </c>
      <c r="F21" s="7">
        <f t="shared" si="12"/>
        <v>13567917.127210047</v>
      </c>
      <c r="G21" s="7">
        <f t="shared" si="12"/>
        <v>1014705.6472353199</v>
      </c>
      <c r="H21" s="7">
        <f t="shared" si="12"/>
        <v>14582622.774445366</v>
      </c>
      <c r="I21" s="7">
        <f t="shared" si="12"/>
        <v>130336.58558187934</v>
      </c>
      <c r="J21" s="7">
        <f t="shared" si="12"/>
        <v>14856554.662732458</v>
      </c>
      <c r="K21" s="7">
        <f t="shared" si="12"/>
        <v>36136554.662732467</v>
      </c>
      <c r="L21" s="7">
        <f t="shared" si="12"/>
        <v>1228642.8585329037</v>
      </c>
      <c r="S21" s="37"/>
      <c r="U21" s="68" t="s">
        <v>440</v>
      </c>
      <c r="V21" s="716">
        <v>56066</v>
      </c>
      <c r="W21" s="717">
        <v>0</v>
      </c>
      <c r="X21" s="717">
        <f t="shared" si="5"/>
        <v>56066</v>
      </c>
    </row>
    <row r="22" spans="2:36" x14ac:dyDescent="0.25">
      <c r="Q22" s="7">
        <f>SUM(Q3:Q21)</f>
        <v>20870000</v>
      </c>
      <c r="R22" s="7">
        <f>SUM(R3:R21)</f>
        <v>13567917.127210047</v>
      </c>
      <c r="S22" s="37">
        <v>2087</v>
      </c>
      <c r="U22" s="68" t="s">
        <v>441</v>
      </c>
      <c r="V22" s="716">
        <v>41438</v>
      </c>
      <c r="W22" s="717">
        <v>0</v>
      </c>
      <c r="X22" s="717">
        <f t="shared" si="5"/>
        <v>41438</v>
      </c>
    </row>
    <row r="23" spans="2:36" x14ac:dyDescent="0.25">
      <c r="U23" s="68" t="s">
        <v>442</v>
      </c>
      <c r="V23" s="716">
        <v>41438</v>
      </c>
      <c r="W23" s="717">
        <v>0</v>
      </c>
      <c r="X23" s="717">
        <f t="shared" si="5"/>
        <v>41438</v>
      </c>
    </row>
    <row r="24" spans="2:36" x14ac:dyDescent="0.25">
      <c r="U24" s="68" t="s">
        <v>443</v>
      </c>
      <c r="V24" s="716">
        <v>41438</v>
      </c>
      <c r="W24" s="717">
        <v>0</v>
      </c>
      <c r="X24" s="717">
        <f t="shared" si="5"/>
        <v>41438</v>
      </c>
    </row>
    <row r="25" spans="2:36" x14ac:dyDescent="0.25">
      <c r="U25" s="68" t="s">
        <v>444</v>
      </c>
      <c r="V25" s="716">
        <v>41438</v>
      </c>
      <c r="W25" s="717">
        <v>0</v>
      </c>
      <c r="X25" s="717">
        <f t="shared" si="5"/>
        <v>41438</v>
      </c>
    </row>
    <row r="26" spans="2:36" ht="13" x14ac:dyDescent="0.25">
      <c r="V26" s="600">
        <f>SUM(V3:V25)</f>
        <v>1288812.4585806862</v>
      </c>
      <c r="W26" s="600">
        <f>SUM(W3:W25)</f>
        <v>52288.811345366543</v>
      </c>
      <c r="X26" s="600">
        <f>SUM(X3:X25)</f>
        <v>1236523.6472353199</v>
      </c>
    </row>
    <row r="27" spans="2:36" ht="14.5" x14ac:dyDescent="0.35">
      <c r="C27" s="726" t="s">
        <v>445</v>
      </c>
    </row>
    <row r="29" spans="2:36" ht="72.5" x14ac:dyDescent="0.35">
      <c r="C29" s="704" t="s">
        <v>49</v>
      </c>
      <c r="D29" s="705" t="s">
        <v>427</v>
      </c>
      <c r="E29" s="705" t="s">
        <v>428</v>
      </c>
      <c r="F29" s="705" t="s">
        <v>429</v>
      </c>
      <c r="G29" s="705" t="s">
        <v>446</v>
      </c>
      <c r="H29" s="705" t="s">
        <v>430</v>
      </c>
      <c r="I29" s="705" t="s">
        <v>431</v>
      </c>
      <c r="J29" s="705" t="s">
        <v>432</v>
      </c>
      <c r="K29" s="705" t="s">
        <v>447</v>
      </c>
      <c r="L29" s="705" t="s">
        <v>448</v>
      </c>
      <c r="M29" s="706">
        <v>3.4000000000000002E-2</v>
      </c>
      <c r="N29" s="956"/>
      <c r="O29" s="957" t="s">
        <v>1079</v>
      </c>
      <c r="P29" s="705" t="s">
        <v>449</v>
      </c>
      <c r="Q29" s="705" t="s">
        <v>1078</v>
      </c>
      <c r="R29" s="955"/>
      <c r="S29" s="6" t="s">
        <v>1068</v>
      </c>
      <c r="U29" s="969"/>
      <c r="V29" s="969"/>
      <c r="W29" s="970" t="s">
        <v>508</v>
      </c>
      <c r="X29" s="970" t="s">
        <v>509</v>
      </c>
      <c r="Y29" s="970" t="s">
        <v>1107</v>
      </c>
      <c r="Z29" s="970" t="s">
        <v>1108</v>
      </c>
      <c r="AA29" s="970" t="s">
        <v>141</v>
      </c>
      <c r="AB29" s="969"/>
      <c r="AC29" s="969"/>
      <c r="AD29" s="970" t="s">
        <v>508</v>
      </c>
      <c r="AE29" s="970" t="s">
        <v>509</v>
      </c>
      <c r="AF29" s="970" t="s">
        <v>1107</v>
      </c>
      <c r="AG29" s="970" t="s">
        <v>1108</v>
      </c>
      <c r="AH29" s="970" t="s">
        <v>141</v>
      </c>
      <c r="AI29" s="970" t="s">
        <v>289</v>
      </c>
      <c r="AJ29" s="970" t="s">
        <v>1</v>
      </c>
    </row>
    <row r="30" spans="2:36" x14ac:dyDescent="0.25">
      <c r="B30" s="68">
        <v>9257010</v>
      </c>
      <c r="C30" s="712" t="s">
        <v>439</v>
      </c>
      <c r="D30" s="713">
        <v>126</v>
      </c>
      <c r="E30" s="8">
        <f>((+D30*10000)*5/12)+((P30*10000)*7/12)</f>
        <v>1382500</v>
      </c>
      <c r="F30" s="8">
        <v>906127.43040856393</v>
      </c>
      <c r="G30" s="8"/>
      <c r="H30" s="8">
        <f>V3</f>
        <v>61714.047666331258</v>
      </c>
      <c r="I30" s="8">
        <f>SUM(F30:H30)</f>
        <v>967841.47807489522</v>
      </c>
      <c r="J30" s="8">
        <f>+I30/S3</f>
        <v>8391.689116256317</v>
      </c>
      <c r="K30" s="8">
        <f>((+J30*D30)*5/12)+((J30*P30)*7/12)</f>
        <v>1160151.0203224358</v>
      </c>
      <c r="L30" s="8">
        <f>+E30+K30</f>
        <v>2542651.0203224355</v>
      </c>
      <c r="M30" s="8">
        <f>+L30*3.4%</f>
        <v>86450.134690962819</v>
      </c>
      <c r="N30" s="1011"/>
      <c r="O30" s="936">
        <f>3.4%*(J30+10000)</f>
        <v>625.31742995271486</v>
      </c>
      <c r="P30" s="713">
        <v>147</v>
      </c>
      <c r="Q30" s="713">
        <v>157</v>
      </c>
      <c r="R30" s="37"/>
      <c r="S30" s="8">
        <f>((O30*P30)*5/12)+((O30*Q30)*7/12)</f>
        <v>95569.347211106593</v>
      </c>
      <c r="U30" s="969" t="s">
        <v>333</v>
      </c>
      <c r="V30" s="969" t="s">
        <v>250</v>
      </c>
      <c r="W30" s="971">
        <v>625812</v>
      </c>
      <c r="X30" s="971">
        <v>161337</v>
      </c>
      <c r="Y30" s="971">
        <v>2098296.98630137</v>
      </c>
      <c r="Z30" s="971"/>
      <c r="AA30" s="971">
        <f>SUM(W30:Z30)</f>
        <v>2885445.98630137</v>
      </c>
      <c r="AB30" s="969"/>
      <c r="AC30" s="969" t="str">
        <f>+'[17]2425 Funding Detail'!C4</f>
        <v>School Size 6</v>
      </c>
      <c r="AD30" s="971">
        <f>'2425 Funding Detail'!D4</f>
        <v>614312</v>
      </c>
      <c r="AE30" s="971">
        <f>'2425 Funding Detail'!E4</f>
        <v>161337</v>
      </c>
      <c r="AF30" s="971">
        <f>'2425 Funding Detail'!H4</f>
        <v>2026909.1643835616</v>
      </c>
      <c r="AG30" s="971">
        <f>'2425 Funding Detail'!G4</f>
        <v>0</v>
      </c>
      <c r="AH30" s="971">
        <f>SUM(AD30:AG30)</f>
        <v>2802558.1643835614</v>
      </c>
      <c r="AI30" s="971">
        <f>+AA30-AH30</f>
        <v>82887.821917808615</v>
      </c>
      <c r="AJ30" s="971">
        <f>+S30-AI30</f>
        <v>12681.525293297978</v>
      </c>
    </row>
    <row r="31" spans="2:36" x14ac:dyDescent="0.25">
      <c r="B31" s="68">
        <v>9257005</v>
      </c>
      <c r="C31" s="718" t="s">
        <v>259</v>
      </c>
      <c r="D31" s="713">
        <v>90</v>
      </c>
      <c r="E31" s="8">
        <f>((+D31*10000)*5/12)+((P31*10000)*7/12)</f>
        <v>806666.66666666674</v>
      </c>
      <c r="F31" s="8">
        <v>782784.52055189444</v>
      </c>
      <c r="G31" s="8"/>
      <c r="H31" s="8">
        <f>V4</f>
        <v>50058.53561655683</v>
      </c>
      <c r="I31" s="8">
        <f t="shared" ref="I31:I46" si="13">SUM(F31:H31)</f>
        <v>832843.05616845132</v>
      </c>
      <c r="J31" s="8">
        <f>+I31/S4</f>
        <v>9401.8030799825156</v>
      </c>
      <c r="K31" s="8">
        <f t="shared" ref="K31:K47" si="14">((+J31*D31)*5/12)+((J31*P31)*7/12)</f>
        <v>758412.11511858972</v>
      </c>
      <c r="L31" s="8">
        <f t="shared" ref="L31:L47" si="15">+E31+K31</f>
        <v>1565078.7817852565</v>
      </c>
      <c r="M31" s="8">
        <f t="shared" ref="M31:M47" si="16">+L31*3.4%</f>
        <v>53212.678580698725</v>
      </c>
      <c r="N31" s="1011"/>
      <c r="O31" s="936">
        <f t="shared" ref="O31:O47" si="17">3.4%*(J31+10000)</f>
        <v>659.66130471940551</v>
      </c>
      <c r="P31" s="713">
        <v>74</v>
      </c>
      <c r="Q31" s="713">
        <v>77</v>
      </c>
      <c r="R31" s="37"/>
      <c r="S31" s="8">
        <f t="shared" ref="S31:S47" si="18">((O31*P31)*5/12)+((O31*Q31)*7/12)</f>
        <v>49969.343832494968</v>
      </c>
      <c r="U31" s="969" t="s">
        <v>259</v>
      </c>
      <c r="V31" s="969" t="s">
        <v>247</v>
      </c>
      <c r="W31" s="971">
        <v>481957</v>
      </c>
      <c r="X31" s="971">
        <v>131813</v>
      </c>
      <c r="Y31" s="971">
        <v>1228298.3626760563</v>
      </c>
      <c r="Z31" s="971"/>
      <c r="AA31" s="971">
        <f t="shared" ref="AA31:AA46" si="19">SUM(W31:Z31)</f>
        <v>1842068.3626760563</v>
      </c>
      <c r="AB31" s="969"/>
      <c r="AC31" s="969" t="str">
        <f>+'[17]2425 Funding Detail'!C5</f>
        <v>School Size 4 Transition Point</v>
      </c>
      <c r="AD31" s="971">
        <f>'2425 Funding Detail'!D5</f>
        <v>470457</v>
      </c>
      <c r="AE31" s="971">
        <f>'2425 Funding Detail'!E5</f>
        <v>131813</v>
      </c>
      <c r="AF31" s="971">
        <f>'2425 Funding Detail'!H5</f>
        <v>1186521.0058685446</v>
      </c>
      <c r="AG31" s="971">
        <f>'2425 Funding Detail'!G5</f>
        <v>0</v>
      </c>
      <c r="AH31" s="971">
        <f t="shared" ref="AH31:AH46" si="20">SUM(AD31:AG31)</f>
        <v>1788791.0058685446</v>
      </c>
      <c r="AI31" s="971">
        <f t="shared" ref="AI31:AI46" si="21">+AA31-AH31</f>
        <v>53277.356807511766</v>
      </c>
      <c r="AJ31" s="971">
        <f t="shared" ref="AJ31:AJ46" si="22">+S31-AI31</f>
        <v>-3308.012975016798</v>
      </c>
    </row>
    <row r="32" spans="2:36" x14ac:dyDescent="0.25">
      <c r="B32" s="68">
        <v>9257025</v>
      </c>
      <c r="C32" s="718" t="s">
        <v>260</v>
      </c>
      <c r="D32" s="713">
        <v>89</v>
      </c>
      <c r="E32" s="8">
        <f t="shared" ref="E32:E46" si="23">((+D32*10000)*5/12)+((P32*10000)*7/12)</f>
        <v>960000</v>
      </c>
      <c r="F32" s="8">
        <v>616293.34814622696</v>
      </c>
      <c r="G32" s="8"/>
      <c r="H32" s="8">
        <f>V5</f>
        <v>43556.364456440686</v>
      </c>
      <c r="I32" s="8">
        <f t="shared" si="13"/>
        <v>659849.71260266763</v>
      </c>
      <c r="J32" s="8">
        <f>+I32/S5</f>
        <v>7816.5809982546998</v>
      </c>
      <c r="K32" s="8">
        <f t="shared" si="14"/>
        <v>750391.77583245118</v>
      </c>
      <c r="L32" s="8">
        <f>+E32+K32</f>
        <v>1710391.7758324512</v>
      </c>
      <c r="M32" s="8">
        <f>+L32*3.4%</f>
        <v>58153.320378303346</v>
      </c>
      <c r="N32" s="1011"/>
      <c r="O32" s="936">
        <f t="shared" si="17"/>
        <v>605.76375394065985</v>
      </c>
      <c r="P32" s="713">
        <v>101</v>
      </c>
      <c r="Q32" s="713">
        <v>110</v>
      </c>
      <c r="R32" s="37"/>
      <c r="S32" s="8">
        <f t="shared" si="18"/>
        <v>64362.398856195105</v>
      </c>
      <c r="U32" s="969" t="s">
        <v>260</v>
      </c>
      <c r="V32" s="969" t="s">
        <v>247</v>
      </c>
      <c r="W32" s="971">
        <v>481957</v>
      </c>
      <c r="X32" s="971">
        <v>131813</v>
      </c>
      <c r="Y32" s="971">
        <v>1155582.3255208335</v>
      </c>
      <c r="Z32" s="971"/>
      <c r="AA32" s="971">
        <f t="shared" si="19"/>
        <v>1769352.3255208335</v>
      </c>
      <c r="AB32" s="969"/>
      <c r="AC32" s="969" t="str">
        <f>+'[17]2425 Funding Detail'!C6</f>
        <v>School Size 4 Transition Point</v>
      </c>
      <c r="AD32" s="971">
        <f>'2425 Funding Detail'!D6</f>
        <v>470457</v>
      </c>
      <c r="AE32" s="971">
        <f>'2425 Funding Detail'!E6</f>
        <v>131813</v>
      </c>
      <c r="AF32" s="971">
        <f>'2425 Funding Detail'!H6</f>
        <v>1116251.9296875</v>
      </c>
      <c r="AG32" s="971">
        <f>'2425 Funding Detail'!G6</f>
        <v>0</v>
      </c>
      <c r="AH32" s="971">
        <f t="shared" si="20"/>
        <v>1718521.9296875</v>
      </c>
      <c r="AI32" s="971">
        <f t="shared" si="21"/>
        <v>50830.395833333489</v>
      </c>
      <c r="AJ32" s="971">
        <f t="shared" si="22"/>
        <v>13532.003022861616</v>
      </c>
    </row>
    <row r="33" spans="2:36" x14ac:dyDescent="0.25">
      <c r="B33" s="68">
        <v>9257024</v>
      </c>
      <c r="C33" s="718" t="s">
        <v>261</v>
      </c>
      <c r="D33" s="713">
        <v>88</v>
      </c>
      <c r="E33" s="8">
        <f t="shared" si="23"/>
        <v>926666.66666666674</v>
      </c>
      <c r="F33" s="8">
        <v>645024.83394405304</v>
      </c>
      <c r="G33" s="8"/>
      <c r="H33" s="8">
        <f t="shared" ref="H33:H38" si="24">V7</f>
        <v>44985.405853811862</v>
      </c>
      <c r="I33" s="8">
        <f t="shared" si="13"/>
        <v>690010.23979786492</v>
      </c>
      <c r="J33" s="8">
        <f t="shared" ref="J33:J46" si="25">+I33/S7</f>
        <v>7992.3965999752681</v>
      </c>
      <c r="K33" s="8">
        <f t="shared" si="14"/>
        <v>740628.75159770809</v>
      </c>
      <c r="L33" s="8">
        <f t="shared" si="15"/>
        <v>1667295.4182643748</v>
      </c>
      <c r="M33" s="8">
        <f t="shared" si="16"/>
        <v>56688.044220988748</v>
      </c>
      <c r="N33" s="1011"/>
      <c r="O33" s="936">
        <f t="shared" si="17"/>
        <v>611.74148439915916</v>
      </c>
      <c r="P33" s="713">
        <v>96</v>
      </c>
      <c r="Q33" s="713">
        <v>100</v>
      </c>
      <c r="R33" s="37"/>
      <c r="S33" s="8">
        <f t="shared" si="18"/>
        <v>60154.579299250654</v>
      </c>
      <c r="U33" s="969" t="s">
        <v>261</v>
      </c>
      <c r="V33" s="969" t="s">
        <v>246</v>
      </c>
      <c r="W33" s="971">
        <v>436277</v>
      </c>
      <c r="X33" s="971">
        <v>125672</v>
      </c>
      <c r="Y33" s="971">
        <v>1135295.3</v>
      </c>
      <c r="Z33" s="971"/>
      <c r="AA33" s="971">
        <f t="shared" si="19"/>
        <v>1697244.3</v>
      </c>
      <c r="AB33" s="969"/>
      <c r="AC33" s="969" t="str">
        <f>+'[17]2425 Funding Detail'!C7</f>
        <v>School Size 4</v>
      </c>
      <c r="AD33" s="971">
        <f>'2425 Funding Detail'!D7</f>
        <v>424777</v>
      </c>
      <c r="AE33" s="971">
        <f>'2425 Funding Detail'!E7</f>
        <v>125672</v>
      </c>
      <c r="AF33" s="971">
        <f>'2425 Funding Detail'!H7</f>
        <v>1096660.0245614036</v>
      </c>
      <c r="AG33" s="971">
        <f>'2425 Funding Detail'!G7</f>
        <v>0</v>
      </c>
      <c r="AH33" s="971">
        <f t="shared" si="20"/>
        <v>1647109.0245614036</v>
      </c>
      <c r="AI33" s="971">
        <f t="shared" si="21"/>
        <v>50135.275438596494</v>
      </c>
      <c r="AJ33" s="971">
        <f t="shared" si="22"/>
        <v>10019.30386065416</v>
      </c>
    </row>
    <row r="34" spans="2:36" x14ac:dyDescent="0.25">
      <c r="B34" s="68">
        <v>9257031</v>
      </c>
      <c r="C34" s="718" t="s">
        <v>169</v>
      </c>
      <c r="D34" s="713">
        <v>80</v>
      </c>
      <c r="E34" s="8">
        <f t="shared" si="23"/>
        <v>805833.33333333326</v>
      </c>
      <c r="F34" s="8">
        <v>920969.4617848706</v>
      </c>
      <c r="G34" s="8"/>
      <c r="H34" s="8">
        <f t="shared" si="24"/>
        <v>57770.313853546118</v>
      </c>
      <c r="I34" s="8">
        <f t="shared" si="13"/>
        <v>978739.77563841676</v>
      </c>
      <c r="J34" s="8">
        <f t="shared" si="25"/>
        <v>12170.857313638342</v>
      </c>
      <c r="K34" s="8">
        <f t="shared" si="14"/>
        <v>980768.2518573564</v>
      </c>
      <c r="L34" s="8">
        <f t="shared" si="15"/>
        <v>1786601.5851906897</v>
      </c>
      <c r="M34" s="8">
        <f t="shared" si="16"/>
        <v>60744.45389648345</v>
      </c>
      <c r="N34" s="1011"/>
      <c r="O34" s="936">
        <f t="shared" si="17"/>
        <v>753.8091486637037</v>
      </c>
      <c r="P34" s="713">
        <v>81</v>
      </c>
      <c r="Q34" s="713">
        <v>80</v>
      </c>
      <c r="R34" s="37"/>
      <c r="S34" s="8">
        <f t="shared" si="18"/>
        <v>60618.819038372836</v>
      </c>
      <c r="U34" s="969" t="s">
        <v>169</v>
      </c>
      <c r="V34" s="969" t="s">
        <v>248</v>
      </c>
      <c r="W34" s="971">
        <v>445685</v>
      </c>
      <c r="X34" s="971">
        <v>102930</v>
      </c>
      <c r="Y34" s="971">
        <v>1334836.25</v>
      </c>
      <c r="Z34" s="971"/>
      <c r="AA34" s="971">
        <f t="shared" si="19"/>
        <v>1883451.25</v>
      </c>
      <c r="AB34" s="969"/>
      <c r="AC34" s="969" t="str">
        <f>+'[17]2425 Funding Detail'!C8</f>
        <v>School Size 5</v>
      </c>
      <c r="AD34" s="971">
        <f>'2425 Funding Detail'!D8</f>
        <v>434185</v>
      </c>
      <c r="AE34" s="971">
        <f>'2425 Funding Detail'!E8</f>
        <v>102930</v>
      </c>
      <c r="AF34" s="971">
        <f>'2425 Funding Detail'!H8</f>
        <v>1289481.25</v>
      </c>
      <c r="AG34" s="971">
        <f>'2425 Funding Detail'!G8</f>
        <v>0</v>
      </c>
      <c r="AH34" s="971">
        <f t="shared" si="20"/>
        <v>1826596.25</v>
      </c>
      <c r="AI34" s="971">
        <f t="shared" si="21"/>
        <v>56855</v>
      </c>
      <c r="AJ34" s="971">
        <f t="shared" si="22"/>
        <v>3763.8190383728361</v>
      </c>
    </row>
    <row r="35" spans="2:36" x14ac:dyDescent="0.25">
      <c r="B35" s="68">
        <v>9257033</v>
      </c>
      <c r="C35" s="718" t="s">
        <v>269</v>
      </c>
      <c r="D35" s="713">
        <v>112</v>
      </c>
      <c r="E35" s="8">
        <f t="shared" si="23"/>
        <v>1137500</v>
      </c>
      <c r="F35" s="8">
        <v>461109.21317218104</v>
      </c>
      <c r="G35" s="8"/>
      <c r="H35" s="8">
        <f t="shared" si="24"/>
        <v>45683.276395165434</v>
      </c>
      <c r="I35" s="8">
        <f t="shared" si="13"/>
        <v>506792.48956734646</v>
      </c>
      <c r="J35" s="8">
        <f t="shared" si="25"/>
        <v>4773.5556317175478</v>
      </c>
      <c r="K35" s="8">
        <f t="shared" si="14"/>
        <v>542991.95310787112</v>
      </c>
      <c r="L35" s="8">
        <f t="shared" si="15"/>
        <v>1680491.9531078711</v>
      </c>
      <c r="M35" s="8">
        <f t="shared" si="16"/>
        <v>57136.726405667621</v>
      </c>
      <c r="N35" s="1011"/>
      <c r="O35" s="936">
        <f t="shared" si="17"/>
        <v>502.30089147839664</v>
      </c>
      <c r="P35" s="713">
        <v>115</v>
      </c>
      <c r="Q35" s="713">
        <v>116</v>
      </c>
      <c r="R35" s="37"/>
      <c r="S35" s="8">
        <f t="shared" si="18"/>
        <v>58057.611373378015</v>
      </c>
      <c r="U35" s="969" t="s">
        <v>269</v>
      </c>
      <c r="V35" s="969" t="s">
        <v>247</v>
      </c>
      <c r="W35" s="971">
        <v>481957</v>
      </c>
      <c r="X35" s="971">
        <v>131813</v>
      </c>
      <c r="Y35" s="971">
        <v>1164479.580383481</v>
      </c>
      <c r="Z35" s="971"/>
      <c r="AA35" s="971">
        <f t="shared" si="19"/>
        <v>1778249.580383481</v>
      </c>
      <c r="AB35" s="969"/>
      <c r="AC35" s="969" t="str">
        <f>+'[17]2425 Funding Detail'!C9</f>
        <v>School Size 4 Transition Point</v>
      </c>
      <c r="AD35" s="971">
        <f>'2425 Funding Detail'!D9</f>
        <v>470457</v>
      </c>
      <c r="AE35" s="971">
        <f>'2425 Funding Detail'!E9</f>
        <v>131813</v>
      </c>
      <c r="AF35" s="971">
        <f>'2425 Funding Detail'!H9</f>
        <v>1124841.6570796459</v>
      </c>
      <c r="AG35" s="971">
        <f>'2425 Funding Detail'!G9</f>
        <v>0</v>
      </c>
      <c r="AH35" s="971">
        <f t="shared" si="20"/>
        <v>1727111.6570796459</v>
      </c>
      <c r="AI35" s="971">
        <f t="shared" si="21"/>
        <v>51137.923303835094</v>
      </c>
      <c r="AJ35" s="971">
        <f t="shared" si="22"/>
        <v>6919.6880695429209</v>
      </c>
    </row>
    <row r="36" spans="2:36" x14ac:dyDescent="0.25">
      <c r="B36" s="68">
        <v>9257008</v>
      </c>
      <c r="C36" s="718" t="s">
        <v>126</v>
      </c>
      <c r="D36" s="713">
        <v>101</v>
      </c>
      <c r="E36" s="8">
        <f t="shared" si="23"/>
        <v>1010000</v>
      </c>
      <c r="F36" s="8">
        <v>467888.47584672458</v>
      </c>
      <c r="G36" s="8"/>
      <c r="H36" s="8">
        <f t="shared" si="24"/>
        <v>44086.654275401736</v>
      </c>
      <c r="I36" s="8">
        <f t="shared" si="13"/>
        <v>511975.13012212631</v>
      </c>
      <c r="J36" s="8">
        <f t="shared" si="25"/>
        <v>5111.2325802541727</v>
      </c>
      <c r="K36" s="8">
        <f t="shared" si="14"/>
        <v>516234.49060567142</v>
      </c>
      <c r="L36" s="8">
        <f>+E36+K36</f>
        <v>1526234.4906056714</v>
      </c>
      <c r="M36" s="8">
        <f t="shared" si="16"/>
        <v>51891.972680592829</v>
      </c>
      <c r="N36" s="1011"/>
      <c r="O36" s="936">
        <f t="shared" si="17"/>
        <v>513.78190772864195</v>
      </c>
      <c r="P36" s="713">
        <v>101</v>
      </c>
      <c r="Q36" s="713">
        <v>101</v>
      </c>
      <c r="R36" s="37"/>
      <c r="S36" s="8">
        <f t="shared" si="18"/>
        <v>51891.972680592837</v>
      </c>
      <c r="U36" s="969" t="s">
        <v>126</v>
      </c>
      <c r="V36" s="969" t="s">
        <v>246</v>
      </c>
      <c r="W36" s="971">
        <v>436277</v>
      </c>
      <c r="X36" s="971">
        <v>125672</v>
      </c>
      <c r="Y36" s="971">
        <v>1065305</v>
      </c>
      <c r="Z36" s="971"/>
      <c r="AA36" s="971">
        <f t="shared" si="19"/>
        <v>1627254</v>
      </c>
      <c r="AB36" s="969"/>
      <c r="AC36" s="969" t="str">
        <f>+'[17]2425 Funding Detail'!C10</f>
        <v>School Size 4</v>
      </c>
      <c r="AD36" s="971">
        <f>'2425 Funding Detail'!D10</f>
        <v>424777</v>
      </c>
      <c r="AE36" s="971">
        <f>'2425 Funding Detail'!E10</f>
        <v>125672</v>
      </c>
      <c r="AF36" s="971">
        <f>'2425 Funding Detail'!H10</f>
        <v>1029048</v>
      </c>
      <c r="AG36" s="971">
        <f>'2425 Funding Detail'!G10</f>
        <v>0</v>
      </c>
      <c r="AH36" s="971">
        <f t="shared" si="20"/>
        <v>1579497</v>
      </c>
      <c r="AI36" s="971">
        <f t="shared" si="21"/>
        <v>47757</v>
      </c>
      <c r="AJ36" s="971">
        <f t="shared" si="22"/>
        <v>4134.9726805928367</v>
      </c>
    </row>
    <row r="37" spans="2:36" x14ac:dyDescent="0.25">
      <c r="B37" s="68">
        <v>9257034</v>
      </c>
      <c r="C37" s="718" t="s">
        <v>270</v>
      </c>
      <c r="D37" s="713">
        <v>124</v>
      </c>
      <c r="E37" s="8">
        <f t="shared" si="23"/>
        <v>1286666.6666666667</v>
      </c>
      <c r="F37" s="8">
        <v>484497.03719841107</v>
      </c>
      <c r="G37" s="8"/>
      <c r="H37" s="8">
        <f t="shared" si="24"/>
        <v>50164.565082699439</v>
      </c>
      <c r="I37" s="8">
        <f t="shared" si="13"/>
        <v>534661.60228111048</v>
      </c>
      <c r="J37" s="8">
        <f t="shared" si="25"/>
        <v>4376.4933338153651</v>
      </c>
      <c r="K37" s="8">
        <f t="shared" si="14"/>
        <v>563108.80895091034</v>
      </c>
      <c r="L37" s="8">
        <f t="shared" si="15"/>
        <v>1849775.4756175771</v>
      </c>
      <c r="M37" s="8">
        <f t="shared" si="16"/>
        <v>62892.366170997622</v>
      </c>
      <c r="N37" s="1011"/>
      <c r="O37" s="936">
        <f t="shared" si="17"/>
        <v>488.80077334972242</v>
      </c>
      <c r="P37" s="713">
        <v>132</v>
      </c>
      <c r="Q37" s="713">
        <v>141</v>
      </c>
      <c r="R37" s="37"/>
      <c r="S37" s="8">
        <f t="shared" si="18"/>
        <v>67087.906142249398</v>
      </c>
      <c r="U37" s="969" t="s">
        <v>270</v>
      </c>
      <c r="V37" s="969" t="s">
        <v>248</v>
      </c>
      <c r="W37" s="971">
        <v>527637</v>
      </c>
      <c r="X37" s="971">
        <v>137954</v>
      </c>
      <c r="Y37" s="971">
        <v>1360916.528846154</v>
      </c>
      <c r="Z37" s="971"/>
      <c r="AA37" s="971">
        <f t="shared" si="19"/>
        <v>2026507.528846154</v>
      </c>
      <c r="AB37" s="969"/>
      <c r="AC37" s="969" t="str">
        <f>+'[17]2425 Funding Detail'!C11</f>
        <v>School Size 5</v>
      </c>
      <c r="AD37" s="971">
        <f>'2425 Funding Detail'!D11</f>
        <v>516137</v>
      </c>
      <c r="AE37" s="971">
        <f>'2425 Funding Detail'!E11</f>
        <v>137954</v>
      </c>
      <c r="AF37" s="971">
        <f>'2425 Funding Detail'!H11</f>
        <v>1314614.5115384618</v>
      </c>
      <c r="AG37" s="971">
        <f>'2425 Funding Detail'!G11</f>
        <v>0</v>
      </c>
      <c r="AH37" s="971">
        <f t="shared" si="20"/>
        <v>1968705.5115384618</v>
      </c>
      <c r="AI37" s="971">
        <f t="shared" si="21"/>
        <v>57802.017307692207</v>
      </c>
      <c r="AJ37" s="971">
        <f t="shared" si="22"/>
        <v>9285.8888345571904</v>
      </c>
    </row>
    <row r="38" spans="2:36" x14ac:dyDescent="0.25">
      <c r="B38" s="68">
        <v>9257002</v>
      </c>
      <c r="C38" s="718" t="s">
        <v>262</v>
      </c>
      <c r="D38" s="713">
        <v>159</v>
      </c>
      <c r="E38" s="8">
        <f t="shared" si="23"/>
        <v>1689166.6666666665</v>
      </c>
      <c r="F38" s="8">
        <v>534980.78324114066</v>
      </c>
      <c r="G38" s="8"/>
      <c r="H38" s="8">
        <f t="shared" si="24"/>
        <v>62749.423497234224</v>
      </c>
      <c r="I38" s="8">
        <f t="shared" si="13"/>
        <v>597730.20673837489</v>
      </c>
      <c r="J38" s="8">
        <f>+I38/S12</f>
        <v>3839.808608597697</v>
      </c>
      <c r="K38" s="8">
        <f t="shared" si="14"/>
        <v>648607.67080229439</v>
      </c>
      <c r="L38" s="8">
        <f t="shared" si="15"/>
        <v>2337774.3374689608</v>
      </c>
      <c r="M38" s="8">
        <f t="shared" si="16"/>
        <v>79484.327473944679</v>
      </c>
      <c r="N38" s="1011"/>
      <c r="O38" s="936">
        <f t="shared" si="17"/>
        <v>470.55349269232175</v>
      </c>
      <c r="P38" s="713">
        <v>176</v>
      </c>
      <c r="Q38" s="713">
        <v>175</v>
      </c>
      <c r="R38" s="37"/>
      <c r="S38" s="8">
        <f t="shared" si="18"/>
        <v>82542.925176444769</v>
      </c>
      <c r="U38" s="969" t="s">
        <v>262</v>
      </c>
      <c r="V38" s="969" t="s">
        <v>249</v>
      </c>
      <c r="W38" s="971">
        <v>576724.5</v>
      </c>
      <c r="X38" s="971">
        <v>149645.5</v>
      </c>
      <c r="Y38" s="971">
        <v>1916078.498931624</v>
      </c>
      <c r="Z38" s="971"/>
      <c r="AA38" s="971">
        <f t="shared" si="19"/>
        <v>2642448.498931624</v>
      </c>
      <c r="AB38" s="969"/>
      <c r="AC38" s="969" t="str">
        <f>+'[17]2425 Funding Detail'!C12</f>
        <v>School Size 5 Transition Point</v>
      </c>
      <c r="AD38" s="971">
        <f>'2425 Funding Detail'!D12</f>
        <v>565224.5</v>
      </c>
      <c r="AE38" s="971">
        <f>'2425 Funding Detail'!E12</f>
        <v>149645.5</v>
      </c>
      <c r="AF38" s="971">
        <f>'2425 Funding Detail'!H12</f>
        <v>1850881.971153846</v>
      </c>
      <c r="AG38" s="971">
        <f>'2425 Funding Detail'!G12</f>
        <v>0</v>
      </c>
      <c r="AH38" s="971">
        <f t="shared" si="20"/>
        <v>2565751.971153846</v>
      </c>
      <c r="AI38" s="971">
        <f t="shared" si="21"/>
        <v>76696.527777777985</v>
      </c>
      <c r="AJ38" s="971">
        <f t="shared" si="22"/>
        <v>5846.3973986667843</v>
      </c>
    </row>
    <row r="39" spans="2:36" ht="14.5" x14ac:dyDescent="0.35">
      <c r="B39" s="68">
        <v>9257009</v>
      </c>
      <c r="C39" s="718" t="s">
        <v>334</v>
      </c>
      <c r="D39" s="713">
        <v>202</v>
      </c>
      <c r="E39" s="8">
        <f>((+D39*10000)*5/12)+((P39*10000)*7/12)</f>
        <v>2078333.3333333335</v>
      </c>
      <c r="F39" s="727">
        <v>811401.8</v>
      </c>
      <c r="G39" s="8">
        <v>393880</v>
      </c>
      <c r="H39" s="8">
        <f>V6+V13</f>
        <v>94792.864039511041</v>
      </c>
      <c r="I39" s="8">
        <f t="shared" si="13"/>
        <v>1300074.664039511</v>
      </c>
      <c r="J39" s="8">
        <f>+I39/(S13+S6)</f>
        <v>6535.7754371487772</v>
      </c>
      <c r="K39" s="8">
        <f>((+J39*D39)*5/12)+((J39*P39)*7/12)</f>
        <v>1358351.9950207542</v>
      </c>
      <c r="L39" s="8">
        <f t="shared" si="15"/>
        <v>3436685.3283540877</v>
      </c>
      <c r="M39" s="8">
        <f>+L39*3.4%</f>
        <v>116847.30116403899</v>
      </c>
      <c r="N39" s="1011"/>
      <c r="O39" s="936">
        <f>3.4%*(J39+10000)</f>
        <v>562.2163648630584</v>
      </c>
      <c r="P39" s="713">
        <v>212</v>
      </c>
      <c r="Q39" s="713">
        <v>216</v>
      </c>
      <c r="R39" s="37"/>
      <c r="S39" s="8">
        <f t="shared" si="18"/>
        <v>120501.70753564883</v>
      </c>
      <c r="U39" s="969" t="s">
        <v>334</v>
      </c>
      <c r="V39" s="969" t="s">
        <v>251</v>
      </c>
      <c r="W39" s="971">
        <v>677885</v>
      </c>
      <c r="X39" s="971">
        <v>167447</v>
      </c>
      <c r="Y39" s="971">
        <v>2463829.4029850746</v>
      </c>
      <c r="Z39" s="971">
        <v>382208</v>
      </c>
      <c r="AA39" s="971">
        <f t="shared" si="19"/>
        <v>3691369.4029850746</v>
      </c>
      <c r="AB39" s="969"/>
      <c r="AC39" s="969" t="str">
        <f>+'[17]2425 Funding Detail'!C13</f>
        <v>School Size 6 Transition Point</v>
      </c>
      <c r="AD39" s="971">
        <f>'2425 Funding Detail'!D13</f>
        <v>666385</v>
      </c>
      <c r="AE39" s="971">
        <f>'2425 Funding Detail'!E13</f>
        <v>167447</v>
      </c>
      <c r="AF39" s="971">
        <f>'2425 Funding Detail'!H13</f>
        <v>2379992.2388059706</v>
      </c>
      <c r="AG39" s="971">
        <f>'2425 Funding Detail'!G13</f>
        <v>370708</v>
      </c>
      <c r="AH39" s="971">
        <f t="shared" si="20"/>
        <v>3584532.2388059706</v>
      </c>
      <c r="AI39" s="971">
        <f t="shared" si="21"/>
        <v>106837.16417910391</v>
      </c>
      <c r="AJ39" s="971">
        <f t="shared" si="22"/>
        <v>13664.54335654492</v>
      </c>
    </row>
    <row r="40" spans="2:36" x14ac:dyDescent="0.25">
      <c r="B40" s="68">
        <v>9257029</v>
      </c>
      <c r="C40" s="718" t="s">
        <v>278</v>
      </c>
      <c r="D40" s="713">
        <v>79</v>
      </c>
      <c r="E40" s="8">
        <f t="shared" si="23"/>
        <v>790000</v>
      </c>
      <c r="F40" s="8">
        <v>888627.89187889441</v>
      </c>
      <c r="G40" s="8"/>
      <c r="H40" s="8">
        <f>V14</f>
        <v>58744.056756366823</v>
      </c>
      <c r="I40" s="8">
        <f t="shared" si="13"/>
        <v>947371.94863526127</v>
      </c>
      <c r="J40" s="8">
        <f t="shared" si="25"/>
        <v>12055.634553152846</v>
      </c>
      <c r="K40" s="8">
        <f t="shared" si="14"/>
        <v>952395.1296990749</v>
      </c>
      <c r="L40" s="8">
        <f t="shared" si="15"/>
        <v>1742395.1296990749</v>
      </c>
      <c r="M40" s="8">
        <f t="shared" si="16"/>
        <v>59241.434409768553</v>
      </c>
      <c r="N40" s="1011"/>
      <c r="O40" s="936">
        <f>3.4%*(J40+10000)</f>
        <v>749.89157480719678</v>
      </c>
      <c r="P40" s="713">
        <v>79</v>
      </c>
      <c r="Q40" s="713">
        <v>82</v>
      </c>
      <c r="R40" s="37"/>
      <c r="S40" s="8">
        <f t="shared" si="18"/>
        <v>60553.744665681137</v>
      </c>
      <c r="U40" s="969" t="s">
        <v>278</v>
      </c>
      <c r="V40" s="969" t="s">
        <v>248</v>
      </c>
      <c r="W40" s="971">
        <v>445685</v>
      </c>
      <c r="X40" s="971">
        <v>102930</v>
      </c>
      <c r="Y40" s="971">
        <v>1340369.25</v>
      </c>
      <c r="Z40" s="971"/>
      <c r="AA40" s="971">
        <f t="shared" si="19"/>
        <v>1888984.25</v>
      </c>
      <c r="AB40" s="969"/>
      <c r="AC40" s="969" t="str">
        <f>+'[17]2425 Funding Detail'!C14</f>
        <v>School Size 5</v>
      </c>
      <c r="AD40" s="971">
        <f>'2425 Funding Detail'!D14</f>
        <v>434185</v>
      </c>
      <c r="AE40" s="971">
        <f>'2425 Funding Detail'!E14</f>
        <v>102930</v>
      </c>
      <c r="AF40" s="971">
        <f>'2425 Funding Detail'!H14</f>
        <v>1294826.25</v>
      </c>
      <c r="AG40" s="971">
        <f>'2425 Funding Detail'!G14</f>
        <v>0</v>
      </c>
      <c r="AH40" s="971">
        <f t="shared" si="20"/>
        <v>1831941.25</v>
      </c>
      <c r="AI40" s="971">
        <f t="shared" si="21"/>
        <v>57043</v>
      </c>
      <c r="AJ40" s="971">
        <f t="shared" si="22"/>
        <v>3510.7446656811371</v>
      </c>
    </row>
    <row r="41" spans="2:36" x14ac:dyDescent="0.25">
      <c r="B41" s="68">
        <v>9257032</v>
      </c>
      <c r="C41" s="718" t="s">
        <v>266</v>
      </c>
      <c r="D41" s="713">
        <v>104</v>
      </c>
      <c r="E41" s="8">
        <f t="shared" si="23"/>
        <v>1104166.6666666667</v>
      </c>
      <c r="F41" s="8">
        <v>1025619.1564844754</v>
      </c>
      <c r="G41" s="8">
        <v>174700</v>
      </c>
      <c r="H41" s="8">
        <f>V15</f>
        <v>74763.844694534258</v>
      </c>
      <c r="I41" s="8">
        <f t="shared" si="13"/>
        <v>1275083.0011790097</v>
      </c>
      <c r="J41" s="8">
        <f t="shared" si="25"/>
        <v>12260.413472875092</v>
      </c>
      <c r="K41" s="8">
        <f t="shared" si="14"/>
        <v>1353753.9876299582</v>
      </c>
      <c r="L41" s="8">
        <f t="shared" si="15"/>
        <v>2457920.6542966249</v>
      </c>
      <c r="M41" s="8">
        <f t="shared" si="16"/>
        <v>83569.302246085252</v>
      </c>
      <c r="N41" s="1011"/>
      <c r="O41" s="936">
        <f t="shared" si="17"/>
        <v>756.85405807775328</v>
      </c>
      <c r="P41" s="713">
        <v>115</v>
      </c>
      <c r="Q41" s="713">
        <v>115</v>
      </c>
      <c r="R41" s="37"/>
      <c r="S41" s="8">
        <f t="shared" si="18"/>
        <v>87038.216678941622</v>
      </c>
      <c r="U41" s="969" t="s">
        <v>266</v>
      </c>
      <c r="V41" s="969" t="s">
        <v>247</v>
      </c>
      <c r="W41" s="971">
        <v>411137</v>
      </c>
      <c r="X41" s="971">
        <v>102930</v>
      </c>
      <c r="Y41" s="971">
        <v>1908885</v>
      </c>
      <c r="Z41" s="971">
        <v>197862</v>
      </c>
      <c r="AA41" s="971">
        <f t="shared" si="19"/>
        <v>2620814</v>
      </c>
      <c r="AB41" s="969"/>
      <c r="AC41" s="969" t="str">
        <f>+'[17]2425 Funding Detail'!C15</f>
        <v>School Size 4 Transition Point</v>
      </c>
      <c r="AD41" s="971">
        <f>'2425 Funding Detail'!D15</f>
        <v>399637</v>
      </c>
      <c r="AE41" s="971">
        <f>'2425 Funding Detail'!E15</f>
        <v>102930</v>
      </c>
      <c r="AF41" s="971">
        <f>'2425 Funding Detail'!H15</f>
        <v>1844025</v>
      </c>
      <c r="AG41" s="971">
        <f>'2425 Funding Detail'!G15</f>
        <v>192636</v>
      </c>
      <c r="AH41" s="971">
        <f t="shared" si="20"/>
        <v>2539228</v>
      </c>
      <c r="AI41" s="971">
        <f t="shared" si="21"/>
        <v>81586</v>
      </c>
      <c r="AJ41" s="971">
        <f t="shared" si="22"/>
        <v>5452.2166789416224</v>
      </c>
    </row>
    <row r="42" spans="2:36" x14ac:dyDescent="0.25">
      <c r="B42" s="68">
        <v>9257030</v>
      </c>
      <c r="C42" s="718" t="s">
        <v>268</v>
      </c>
      <c r="D42" s="713">
        <v>70</v>
      </c>
      <c r="E42" s="8">
        <f t="shared" si="23"/>
        <v>700000</v>
      </c>
      <c r="F42" s="8">
        <v>853316.79185140773</v>
      </c>
      <c r="G42" s="8"/>
      <c r="H42" s="8">
        <f>V16</f>
        <v>56038.214663745282</v>
      </c>
      <c r="I42" s="8">
        <f t="shared" si="13"/>
        <v>909355.00651515299</v>
      </c>
      <c r="J42" s="8">
        <f t="shared" si="25"/>
        <v>12837.9530331551</v>
      </c>
      <c r="K42" s="8">
        <f t="shared" si="14"/>
        <v>898656.71232085698</v>
      </c>
      <c r="L42" s="8">
        <f t="shared" si="15"/>
        <v>1598656.712320857</v>
      </c>
      <c r="M42" s="8">
        <f t="shared" si="16"/>
        <v>54354.328218909141</v>
      </c>
      <c r="N42" s="1011"/>
      <c r="O42" s="936">
        <f t="shared" si="17"/>
        <v>776.49040312727345</v>
      </c>
      <c r="P42" s="713">
        <v>70</v>
      </c>
      <c r="Q42" s="713">
        <v>76</v>
      </c>
      <c r="R42" s="37"/>
      <c r="S42" s="8">
        <f t="shared" si="18"/>
        <v>57072.044629854601</v>
      </c>
      <c r="U42" s="969" t="s">
        <v>268</v>
      </c>
      <c r="V42" s="969" t="s">
        <v>247</v>
      </c>
      <c r="W42" s="971">
        <v>411137</v>
      </c>
      <c r="X42" s="971">
        <v>102930</v>
      </c>
      <c r="Y42" s="971">
        <v>1220026.5</v>
      </c>
      <c r="Z42" s="971"/>
      <c r="AA42" s="971">
        <f t="shared" si="19"/>
        <v>1734093.5</v>
      </c>
      <c r="AB42" s="969"/>
      <c r="AC42" s="969" t="str">
        <f>+'[17]2425 Funding Detail'!C16</f>
        <v>School Size 4 Transition Point</v>
      </c>
      <c r="AD42" s="971">
        <f>'2425 Funding Detail'!D16</f>
        <v>399637</v>
      </c>
      <c r="AE42" s="971">
        <f>'2425 Funding Detail'!E16</f>
        <v>102930</v>
      </c>
      <c r="AF42" s="971">
        <f>'2425 Funding Detail'!H16</f>
        <v>1178572.5</v>
      </c>
      <c r="AG42" s="971">
        <f>'2425 Funding Detail'!G16</f>
        <v>0</v>
      </c>
      <c r="AH42" s="971">
        <f t="shared" si="20"/>
        <v>1681139.5</v>
      </c>
      <c r="AI42" s="971">
        <f t="shared" si="21"/>
        <v>52954</v>
      </c>
      <c r="AJ42" s="971">
        <f t="shared" si="22"/>
        <v>4118.0446298546012</v>
      </c>
    </row>
    <row r="43" spans="2:36" x14ac:dyDescent="0.25">
      <c r="B43" s="68">
        <v>9257028</v>
      </c>
      <c r="C43" s="718" t="s">
        <v>70</v>
      </c>
      <c r="D43" s="713">
        <v>135</v>
      </c>
      <c r="E43" s="8">
        <f t="shared" si="23"/>
        <v>1385000</v>
      </c>
      <c r="F43" s="8">
        <v>944486.86598736909</v>
      </c>
      <c r="G43" s="8"/>
      <c r="H43" s="8">
        <f>V17</f>
        <v>67309.605979621076</v>
      </c>
      <c r="I43" s="8">
        <f t="shared" si="13"/>
        <v>1011796.4719669902</v>
      </c>
      <c r="J43" s="8">
        <f t="shared" si="25"/>
        <v>7788.0421190531624</v>
      </c>
      <c r="K43" s="8">
        <f t="shared" si="14"/>
        <v>1078643.833488863</v>
      </c>
      <c r="L43" s="8">
        <f t="shared" si="15"/>
        <v>2463643.833488863</v>
      </c>
      <c r="M43" s="8">
        <f t="shared" si="16"/>
        <v>83763.89033862135</v>
      </c>
      <c r="N43" s="1011"/>
      <c r="O43" s="936">
        <f t="shared" si="17"/>
        <v>604.79343204780764</v>
      </c>
      <c r="P43" s="713">
        <v>141</v>
      </c>
      <c r="Q43" s="713">
        <v>145</v>
      </c>
      <c r="R43" s="37"/>
      <c r="S43" s="8">
        <f t="shared" si="18"/>
        <v>86687.058593519105</v>
      </c>
      <c r="U43" s="969" t="s">
        <v>70</v>
      </c>
      <c r="V43" s="969" t="s">
        <v>250</v>
      </c>
      <c r="W43" s="971">
        <v>625812</v>
      </c>
      <c r="X43" s="971">
        <v>161337</v>
      </c>
      <c r="Y43" s="971">
        <v>2139884.6447028425</v>
      </c>
      <c r="Z43" s="971"/>
      <c r="AA43" s="971">
        <f t="shared" si="19"/>
        <v>2927033.6447028425</v>
      </c>
      <c r="AB43" s="969"/>
      <c r="AC43" s="969" t="str">
        <f>+'[17]2425 Funding Detail'!C17</f>
        <v>School Size 6</v>
      </c>
      <c r="AD43" s="971">
        <f>'2425 Funding Detail'!D17</f>
        <v>614312</v>
      </c>
      <c r="AE43" s="971">
        <f>'2425 Funding Detail'!E17</f>
        <v>161337</v>
      </c>
      <c r="AF43" s="971">
        <f>'2425 Funding Detail'!H17</f>
        <v>2067081.7771317831</v>
      </c>
      <c r="AG43" s="971">
        <f>'2425 Funding Detail'!G17</f>
        <v>0</v>
      </c>
      <c r="AH43" s="971">
        <f t="shared" si="20"/>
        <v>2842730.7771317828</v>
      </c>
      <c r="AI43" s="971">
        <f t="shared" si="21"/>
        <v>84302.867571059614</v>
      </c>
      <c r="AJ43" s="971">
        <f t="shared" si="22"/>
        <v>2384.1910224594903</v>
      </c>
    </row>
    <row r="44" spans="2:36" x14ac:dyDescent="0.25">
      <c r="B44" s="68">
        <v>9257021</v>
      </c>
      <c r="C44" s="718" t="s">
        <v>263</v>
      </c>
      <c r="D44" s="713">
        <v>178</v>
      </c>
      <c r="E44" s="8">
        <f t="shared" si="23"/>
        <v>1785833.3333333333</v>
      </c>
      <c r="F44" s="8">
        <v>600502.84805452451</v>
      </c>
      <c r="G44" s="8"/>
      <c r="H44" s="8">
        <f t="shared" ref="H44:H46" si="26">V18</f>
        <v>70290.085441635732</v>
      </c>
      <c r="I44" s="8">
        <f t="shared" si="13"/>
        <v>670792.9334961602</v>
      </c>
      <c r="J44" s="8">
        <f t="shared" si="25"/>
        <v>3849.6007661185663</v>
      </c>
      <c r="K44" s="8">
        <f t="shared" si="14"/>
        <v>687474.53681600734</v>
      </c>
      <c r="L44" s="8">
        <f t="shared" si="15"/>
        <v>2473307.8701493405</v>
      </c>
      <c r="M44" s="8">
        <f t="shared" si="16"/>
        <v>84092.467585077582</v>
      </c>
      <c r="N44" s="1011"/>
      <c r="O44" s="936">
        <f t="shared" si="17"/>
        <v>470.8864260480313</v>
      </c>
      <c r="P44" s="713">
        <v>179</v>
      </c>
      <c r="Q44" s="713">
        <v>180</v>
      </c>
      <c r="R44" s="37"/>
      <c r="S44" s="8">
        <f t="shared" si="18"/>
        <v>84563.35401112563</v>
      </c>
      <c r="U44" s="969" t="s">
        <v>263</v>
      </c>
      <c r="V44" s="969" t="s">
        <v>249</v>
      </c>
      <c r="W44" s="971">
        <v>576724.5</v>
      </c>
      <c r="X44" s="971">
        <v>149645.5</v>
      </c>
      <c r="Y44" s="971">
        <v>1866306.3745210725</v>
      </c>
      <c r="Z44" s="971"/>
      <c r="AA44" s="971">
        <f t="shared" si="19"/>
        <v>2592676.3745210725</v>
      </c>
      <c r="AB44" s="969"/>
      <c r="AC44" s="969" t="str">
        <f>+'[17]2425 Funding Detail'!C18</f>
        <v>School Size 5 Transition Point</v>
      </c>
      <c r="AD44" s="971">
        <f>'2425 Funding Detail'!D18</f>
        <v>565224.5</v>
      </c>
      <c r="AE44" s="971">
        <f>'2425 Funding Detail'!E18</f>
        <v>149645.5</v>
      </c>
      <c r="AF44" s="971">
        <f>'2425 Funding Detail'!H18</f>
        <v>1802805.0886015324</v>
      </c>
      <c r="AG44" s="971">
        <f>'2425 Funding Detail'!G18</f>
        <v>0</v>
      </c>
      <c r="AH44" s="971">
        <f t="shared" si="20"/>
        <v>2517675.0886015324</v>
      </c>
      <c r="AI44" s="971">
        <f t="shared" si="21"/>
        <v>75001.285919540096</v>
      </c>
      <c r="AJ44" s="971">
        <f t="shared" si="22"/>
        <v>9562.0680915855337</v>
      </c>
    </row>
    <row r="45" spans="2:36" x14ac:dyDescent="0.25">
      <c r="B45" s="68">
        <v>9257015</v>
      </c>
      <c r="C45" s="718" t="s">
        <v>72</v>
      </c>
      <c r="D45" s="713">
        <v>225</v>
      </c>
      <c r="E45" s="8">
        <f t="shared" si="23"/>
        <v>2337500</v>
      </c>
      <c r="F45" s="8">
        <v>742764.87288844166</v>
      </c>
      <c r="G45" s="8"/>
      <c r="H45" s="8">
        <f t="shared" si="26"/>
        <v>90232.946186653251</v>
      </c>
      <c r="I45" s="8">
        <f t="shared" si="13"/>
        <v>832997.81907509489</v>
      </c>
      <c r="J45" s="8">
        <f t="shared" si="25"/>
        <v>3677.6945654529577</v>
      </c>
      <c r="K45" s="8">
        <f t="shared" si="14"/>
        <v>859661.10467462894</v>
      </c>
      <c r="L45" s="8">
        <f t="shared" si="15"/>
        <v>3197161.1046746289</v>
      </c>
      <c r="M45" s="8">
        <f t="shared" si="16"/>
        <v>108703.47755893739</v>
      </c>
      <c r="N45" s="1011"/>
      <c r="O45" s="936">
        <f t="shared" si="17"/>
        <v>465.04161522540056</v>
      </c>
      <c r="P45" s="713">
        <v>240</v>
      </c>
      <c r="Q45" s="713">
        <v>333</v>
      </c>
      <c r="R45" s="37"/>
      <c r="S45" s="8">
        <f t="shared" si="18"/>
        <v>136838.49528007413</v>
      </c>
      <c r="U45" s="969" t="s">
        <v>72</v>
      </c>
      <c r="V45" s="969" t="s">
        <v>424</v>
      </c>
      <c r="W45" s="971">
        <v>776570.5</v>
      </c>
      <c r="X45" s="971">
        <v>179765.5</v>
      </c>
      <c r="Y45" s="971">
        <v>3333076.90625</v>
      </c>
      <c r="Z45" s="971">
        <v>496404</v>
      </c>
      <c r="AA45" s="971">
        <f t="shared" si="19"/>
        <v>4785816.90625</v>
      </c>
      <c r="AB45" s="969"/>
      <c r="AC45" s="969" t="str">
        <f>+'[17]2425 Funding Detail'!C19</f>
        <v>School Size 7 Transition Point</v>
      </c>
      <c r="AD45" s="971">
        <f>'2425 Funding Detail'!D19</f>
        <v>765070.5</v>
      </c>
      <c r="AE45" s="971">
        <f>'2425 Funding Detail'!E19</f>
        <v>179765.5</v>
      </c>
      <c r="AF45" s="971">
        <f>'2425 Funding Detail'!H19</f>
        <v>3219661.881465517</v>
      </c>
      <c r="AG45" s="971">
        <f>'2425 Funding Detail'!G19</f>
        <v>484904</v>
      </c>
      <c r="AH45" s="971">
        <f t="shared" si="20"/>
        <v>4649401.881465517</v>
      </c>
      <c r="AI45" s="971">
        <f t="shared" si="21"/>
        <v>136415.02478448302</v>
      </c>
      <c r="AJ45" s="971">
        <f t="shared" si="22"/>
        <v>423.47049559111474</v>
      </c>
    </row>
    <row r="46" spans="2:36" x14ac:dyDescent="0.25">
      <c r="B46" s="68">
        <v>9257016</v>
      </c>
      <c r="C46" s="718" t="s">
        <v>73</v>
      </c>
      <c r="D46" s="713">
        <v>166</v>
      </c>
      <c r="E46" s="8">
        <f t="shared" si="23"/>
        <v>1654166.6666666665</v>
      </c>
      <c r="F46" s="8">
        <v>1487641.8040477117</v>
      </c>
      <c r="G46" s="8"/>
      <c r="H46" s="8">
        <f t="shared" si="26"/>
        <v>94054.254121431353</v>
      </c>
      <c r="I46" s="8">
        <f t="shared" si="13"/>
        <v>1581696.058169143</v>
      </c>
      <c r="J46" s="8">
        <f t="shared" si="25"/>
        <v>9600.583054137438</v>
      </c>
      <c r="K46" s="8">
        <f t="shared" si="14"/>
        <v>1588096.4468719014</v>
      </c>
      <c r="L46" s="8">
        <f t="shared" si="15"/>
        <v>3242263.1135385679</v>
      </c>
      <c r="M46" s="8">
        <f t="shared" si="16"/>
        <v>110236.94586031132</v>
      </c>
      <c r="N46" s="1011"/>
      <c r="O46" s="936">
        <f t="shared" si="17"/>
        <v>666.41982384067296</v>
      </c>
      <c r="P46" s="713">
        <v>165</v>
      </c>
      <c r="Q46" s="713">
        <v>165</v>
      </c>
      <c r="R46" s="37"/>
      <c r="S46" s="8">
        <f t="shared" si="18"/>
        <v>109959.27093371103</v>
      </c>
      <c r="U46" s="969" t="s">
        <v>73</v>
      </c>
      <c r="V46" s="969" t="s">
        <v>251</v>
      </c>
      <c r="W46" s="971">
        <v>677885</v>
      </c>
      <c r="X46" s="971">
        <v>167447</v>
      </c>
      <c r="Y46" s="971">
        <v>2628600.3333333335</v>
      </c>
      <c r="Z46" s="971"/>
      <c r="AA46" s="971">
        <f t="shared" si="19"/>
        <v>3473932.3333333335</v>
      </c>
      <c r="AB46" s="969"/>
      <c r="AC46" s="969" t="str">
        <f>+'[17]2425 Funding Detail'!C20</f>
        <v>School Size 6 Transition Point</v>
      </c>
      <c r="AD46" s="971">
        <f>'2425 Funding Detail'!D20</f>
        <v>666385</v>
      </c>
      <c r="AE46" s="971">
        <f>'2425 Funding Detail'!E20</f>
        <v>167447</v>
      </c>
      <c r="AF46" s="971">
        <f>'2425 Funding Detail'!H20</f>
        <v>2539182.983974359</v>
      </c>
      <c r="AG46" s="971">
        <f>'2425 Funding Detail'!G20</f>
        <v>0</v>
      </c>
      <c r="AH46" s="971">
        <f t="shared" si="20"/>
        <v>3373014.983974359</v>
      </c>
      <c r="AI46" s="971">
        <f t="shared" si="21"/>
        <v>100917.34935897449</v>
      </c>
      <c r="AJ46" s="971">
        <f t="shared" si="22"/>
        <v>9041.9215747365379</v>
      </c>
    </row>
    <row r="47" spans="2:36" x14ac:dyDescent="0.25">
      <c r="C47" s="728" t="s">
        <v>220</v>
      </c>
      <c r="D47" s="729">
        <v>80</v>
      </c>
      <c r="E47" s="725">
        <v>800000</v>
      </c>
      <c r="F47" s="725">
        <f>1668218-E47</f>
        <v>868218</v>
      </c>
      <c r="G47" s="725">
        <v>200640</v>
      </c>
      <c r="H47" s="725">
        <f>V21</f>
        <v>56066</v>
      </c>
      <c r="I47" s="725">
        <f>SUM(F47:H47)</f>
        <v>1124924</v>
      </c>
      <c r="J47" s="725">
        <f>+I47/80</f>
        <v>14061.55</v>
      </c>
      <c r="K47" s="725">
        <f t="shared" si="14"/>
        <v>1124924</v>
      </c>
      <c r="L47" s="725">
        <f t="shared" si="15"/>
        <v>1924924</v>
      </c>
      <c r="M47" s="725">
        <f t="shared" si="16"/>
        <v>65447.416000000005</v>
      </c>
      <c r="N47" s="7"/>
      <c r="O47" s="958">
        <f t="shared" si="17"/>
        <v>818.09270000000004</v>
      </c>
      <c r="P47" s="729">
        <v>80</v>
      </c>
      <c r="Q47" s="729">
        <v>80</v>
      </c>
      <c r="R47" s="37"/>
      <c r="S47" s="725">
        <f t="shared" si="18"/>
        <v>65447.416000000005</v>
      </c>
      <c r="U47" s="969"/>
      <c r="V47" s="969"/>
      <c r="W47" s="971"/>
      <c r="X47" s="971"/>
      <c r="Y47" s="971"/>
      <c r="Z47" s="971"/>
      <c r="AA47" s="971"/>
      <c r="AB47" s="969"/>
      <c r="AC47" s="969"/>
      <c r="AD47" s="971"/>
      <c r="AE47" s="971"/>
      <c r="AF47" s="971"/>
      <c r="AG47" s="971"/>
      <c r="AH47" s="971"/>
      <c r="AI47" s="971"/>
      <c r="AJ47" s="971"/>
    </row>
    <row r="48" spans="2:36" ht="13" x14ac:dyDescent="0.3">
      <c r="Q48"/>
      <c r="R48"/>
      <c r="S48"/>
      <c r="U48" s="969"/>
      <c r="V48" s="969"/>
      <c r="W48" s="972">
        <f>SUM(W30:W47)</f>
        <v>9097119.5</v>
      </c>
      <c r="X48" s="972">
        <f t="shared" ref="X48:AA48" si="27">SUM(X30:X47)</f>
        <v>2333081.5</v>
      </c>
      <c r="Y48" s="972">
        <f t="shared" si="27"/>
        <v>29360067.244451843</v>
      </c>
      <c r="Z48" s="972">
        <f t="shared" si="27"/>
        <v>1076474</v>
      </c>
      <c r="AA48" s="972">
        <f t="shared" si="27"/>
        <v>41866742.244451843</v>
      </c>
      <c r="AB48" s="969"/>
      <c r="AC48" s="969"/>
      <c r="AD48" s="972">
        <f t="shared" ref="AD48:AJ48" si="28">SUM(AD30:AD47)</f>
        <v>8901619.5</v>
      </c>
      <c r="AE48" s="972">
        <f t="shared" si="28"/>
        <v>2333081.5</v>
      </c>
      <c r="AF48" s="972">
        <f t="shared" si="28"/>
        <v>28361357.234252129</v>
      </c>
      <c r="AG48" s="972">
        <f t="shared" si="28"/>
        <v>1048248</v>
      </c>
      <c r="AH48" s="972">
        <f t="shared" si="28"/>
        <v>40644306.234252132</v>
      </c>
      <c r="AI48" s="972">
        <f t="shared" si="28"/>
        <v>1222436.0101997168</v>
      </c>
      <c r="AJ48" s="972">
        <f t="shared" si="28"/>
        <v>111032.78573892447</v>
      </c>
    </row>
    <row r="49" spans="4:19" x14ac:dyDescent="0.25">
      <c r="D49" s="37">
        <f t="shared" ref="D49:L49" si="29">SUM(D30:D46)</f>
        <v>2128</v>
      </c>
      <c r="E49" s="7">
        <f t="shared" si="29"/>
        <v>21840000</v>
      </c>
      <c r="F49" s="7">
        <f t="shared" si="29"/>
        <v>13174037.13548689</v>
      </c>
      <c r="G49" s="7">
        <f t="shared" si="29"/>
        <v>568580</v>
      </c>
      <c r="H49" s="7">
        <f t="shared" si="29"/>
        <v>1066994.4585806862</v>
      </c>
      <c r="I49" s="7">
        <f t="shared" si="29"/>
        <v>14809611.594067577</v>
      </c>
      <c r="J49" s="7">
        <f t="shared" si="29"/>
        <v>132480.11426358589</v>
      </c>
      <c r="K49" s="7">
        <f t="shared" si="29"/>
        <v>15438328.584717331</v>
      </c>
      <c r="L49" s="7">
        <f t="shared" si="29"/>
        <v>37278328.584717333</v>
      </c>
      <c r="M49" s="7">
        <f>SUM(M30:M46)</f>
        <v>1267463.1718803896</v>
      </c>
      <c r="N49" s="7"/>
      <c r="O49" s="7"/>
      <c r="P49" s="37">
        <f>SUM(P30:P46)</f>
        <v>2224</v>
      </c>
      <c r="Q49" s="37">
        <f>SUM(Q30:Q46)</f>
        <v>2369</v>
      </c>
      <c r="S49" s="141">
        <f>SUM(S30:S46)</f>
        <v>1333468.7959386415</v>
      </c>
    </row>
    <row r="50" spans="4:19" x14ac:dyDescent="0.25">
      <c r="S50"/>
    </row>
    <row r="51" spans="4:19" x14ac:dyDescent="0.25">
      <c r="M51" s="937">
        <f>0.74*M49</f>
        <v>937922.74719148828</v>
      </c>
      <c r="N51" s="937"/>
      <c r="S51" s="7">
        <f>S49-M49</f>
        <v>66005.624058251968</v>
      </c>
    </row>
    <row r="52" spans="4:19" x14ac:dyDescent="0.25">
      <c r="H52" t="s">
        <v>450</v>
      </c>
    </row>
  </sheetData>
  <mergeCells count="1">
    <mergeCell ref="P1:S1"/>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rgb="FFFFFF00"/>
    <pageSetUpPr fitToPage="1"/>
  </sheetPr>
  <dimension ref="A1:B311"/>
  <sheetViews>
    <sheetView zoomScale="85" zoomScaleNormal="85" workbookViewId="0"/>
  </sheetViews>
  <sheetFormatPr defaultColWidth="8.7265625" defaultRowHeight="15.5" x14ac:dyDescent="0.35"/>
  <cols>
    <col min="1" max="1" width="7.81640625" style="392" customWidth="1"/>
    <col min="2" max="2" width="138" style="392" customWidth="1"/>
    <col min="3" max="16384" width="8.7265625" style="392"/>
  </cols>
  <sheetData>
    <row r="1" spans="1:2" ht="12.65" customHeight="1" x14ac:dyDescent="0.35">
      <c r="A1" s="698"/>
      <c r="B1" s="1015" t="s">
        <v>1180</v>
      </c>
    </row>
    <row r="2" spans="1:2" ht="12.65" customHeight="1" x14ac:dyDescent="0.35">
      <c r="A2" s="698"/>
      <c r="B2" s="1015"/>
    </row>
    <row r="3" spans="1:2" ht="12.65" customHeight="1" x14ac:dyDescent="0.35">
      <c r="A3" s="698"/>
      <c r="B3" s="1015"/>
    </row>
    <row r="4" spans="1:2" ht="12.65" customHeight="1" x14ac:dyDescent="0.35">
      <c r="A4" s="698"/>
      <c r="B4" s="1015"/>
    </row>
    <row r="5" spans="1:2" ht="12.65" customHeight="1" x14ac:dyDescent="0.35">
      <c r="A5" s="698"/>
      <c r="B5" s="1015"/>
    </row>
    <row r="6" spans="1:2" ht="12.65" customHeight="1" x14ac:dyDescent="0.35">
      <c r="A6" s="698"/>
      <c r="B6" s="1015"/>
    </row>
    <row r="7" spans="1:2" ht="12.65" customHeight="1" x14ac:dyDescent="0.35">
      <c r="A7" s="698"/>
      <c r="B7" s="1015"/>
    </row>
    <row r="8" spans="1:2" ht="12.65" customHeight="1" x14ac:dyDescent="0.35">
      <c r="A8" s="698"/>
      <c r="B8" s="1015"/>
    </row>
    <row r="9" spans="1:2" ht="12.65" customHeight="1" x14ac:dyDescent="0.35">
      <c r="A9" s="698"/>
      <c r="B9" s="1015"/>
    </row>
    <row r="10" spans="1:2" ht="12.65" customHeight="1" x14ac:dyDescent="0.35">
      <c r="A10" s="698"/>
      <c r="B10" s="1015"/>
    </row>
    <row r="11" spans="1:2" ht="12.65" customHeight="1" x14ac:dyDescent="0.35">
      <c r="A11" s="698"/>
      <c r="B11" s="1015"/>
    </row>
    <row r="12" spans="1:2" ht="12.65" customHeight="1" x14ac:dyDescent="0.35">
      <c r="A12" s="698"/>
      <c r="B12" s="1015"/>
    </row>
    <row r="13" spans="1:2" ht="12.75" customHeight="1" x14ac:dyDescent="0.35">
      <c r="A13" s="698"/>
      <c r="B13" s="1015"/>
    </row>
    <row r="14" spans="1:2" x14ac:dyDescent="0.35">
      <c r="A14" s="698"/>
      <c r="B14" s="1015"/>
    </row>
    <row r="15" spans="1:2" ht="26.15" customHeight="1" x14ac:dyDescent="0.35">
      <c r="A15" s="698"/>
      <c r="B15" s="1015"/>
    </row>
    <row r="16" spans="1:2" x14ac:dyDescent="0.35">
      <c r="A16" s="698"/>
      <c r="B16" s="1015"/>
    </row>
    <row r="17" spans="1:2" x14ac:dyDescent="0.35">
      <c r="A17" s="698"/>
      <c r="B17" s="1015"/>
    </row>
    <row r="18" spans="1:2" x14ac:dyDescent="0.35">
      <c r="A18" s="698"/>
      <c r="B18" s="1015"/>
    </row>
    <row r="19" spans="1:2" x14ac:dyDescent="0.35">
      <c r="A19" s="698"/>
      <c r="B19" s="1015"/>
    </row>
    <row r="20" spans="1:2" x14ac:dyDescent="0.35">
      <c r="A20" s="698"/>
      <c r="B20" s="1015"/>
    </row>
    <row r="21" spans="1:2" x14ac:dyDescent="0.35">
      <c r="A21" s="698"/>
      <c r="B21" s="1015"/>
    </row>
    <row r="22" spans="1:2" x14ac:dyDescent="0.35">
      <c r="A22" s="698"/>
      <c r="B22" s="1015"/>
    </row>
    <row r="23" spans="1:2" x14ac:dyDescent="0.35">
      <c r="A23" s="698"/>
      <c r="B23" s="1015"/>
    </row>
    <row r="24" spans="1:2" x14ac:dyDescent="0.35">
      <c r="A24" s="698"/>
      <c r="B24" s="1015"/>
    </row>
    <row r="25" spans="1:2" x14ac:dyDescent="0.35">
      <c r="A25" s="698"/>
      <c r="B25" s="1015"/>
    </row>
    <row r="26" spans="1:2" x14ac:dyDescent="0.35">
      <c r="A26" s="698"/>
      <c r="B26" s="1015"/>
    </row>
    <row r="27" spans="1:2" x14ac:dyDescent="0.35">
      <c r="A27" s="698"/>
      <c r="B27" s="1015"/>
    </row>
    <row r="28" spans="1:2" x14ac:dyDescent="0.35">
      <c r="A28" s="698"/>
      <c r="B28" s="1015"/>
    </row>
    <row r="29" spans="1:2" x14ac:dyDescent="0.35">
      <c r="A29" s="698"/>
      <c r="B29" s="1015"/>
    </row>
    <row r="30" spans="1:2" x14ac:dyDescent="0.35">
      <c r="A30" s="698"/>
      <c r="B30" s="1015"/>
    </row>
    <row r="31" spans="1:2" x14ac:dyDescent="0.35">
      <c r="A31" s="698"/>
      <c r="B31" s="1015"/>
    </row>
    <row r="32" spans="1:2" x14ac:dyDescent="0.35">
      <c r="A32" s="698"/>
      <c r="B32" s="1015"/>
    </row>
    <row r="33" spans="1:2" x14ac:dyDescent="0.35">
      <c r="A33" s="698"/>
      <c r="B33" s="1015"/>
    </row>
    <row r="34" spans="1:2" x14ac:dyDescent="0.35">
      <c r="A34" s="698"/>
      <c r="B34" s="1015"/>
    </row>
    <row r="35" spans="1:2" x14ac:dyDescent="0.35">
      <c r="A35" s="698"/>
      <c r="B35" s="1015"/>
    </row>
    <row r="36" spans="1:2" x14ac:dyDescent="0.35">
      <c r="A36" s="698"/>
      <c r="B36" s="1015"/>
    </row>
    <row r="37" spans="1:2" x14ac:dyDescent="0.35">
      <c r="A37" s="698"/>
      <c r="B37" s="1015"/>
    </row>
    <row r="38" spans="1:2" x14ac:dyDescent="0.35">
      <c r="A38" s="698"/>
      <c r="B38" s="1015"/>
    </row>
    <row r="39" spans="1:2" x14ac:dyDescent="0.35">
      <c r="A39" s="698"/>
      <c r="B39" s="1015"/>
    </row>
    <row r="40" spans="1:2" x14ac:dyDescent="0.35">
      <c r="A40" s="698"/>
      <c r="B40" s="1015"/>
    </row>
    <row r="41" spans="1:2" x14ac:dyDescent="0.35">
      <c r="A41" s="698"/>
      <c r="B41" s="1015"/>
    </row>
    <row r="42" spans="1:2" x14ac:dyDescent="0.35">
      <c r="A42" s="698"/>
      <c r="B42" s="1015"/>
    </row>
    <row r="43" spans="1:2" x14ac:dyDescent="0.35">
      <c r="A43" s="698"/>
      <c r="B43" s="1015"/>
    </row>
    <row r="44" spans="1:2" x14ac:dyDescent="0.35">
      <c r="A44" s="698"/>
      <c r="B44" s="1015"/>
    </row>
    <row r="45" spans="1:2" x14ac:dyDescent="0.35">
      <c r="A45" s="698"/>
      <c r="B45" s="1015"/>
    </row>
    <row r="46" spans="1:2" x14ac:dyDescent="0.35">
      <c r="A46" s="698"/>
      <c r="B46" s="1015"/>
    </row>
    <row r="47" spans="1:2" x14ac:dyDescent="0.35">
      <c r="A47" s="698"/>
      <c r="B47" s="1015"/>
    </row>
    <row r="48" spans="1:2" x14ac:dyDescent="0.35">
      <c r="A48" s="698"/>
      <c r="B48" s="1015"/>
    </row>
    <row r="49" spans="1:2" x14ac:dyDescent="0.35">
      <c r="A49" s="698"/>
      <c r="B49" s="1015"/>
    </row>
    <row r="50" spans="1:2" x14ac:dyDescent="0.35">
      <c r="A50" s="698"/>
      <c r="B50" s="1015"/>
    </row>
    <row r="51" spans="1:2" x14ac:dyDescent="0.35">
      <c r="A51" s="698"/>
      <c r="B51" s="1015"/>
    </row>
    <row r="52" spans="1:2" x14ac:dyDescent="0.35">
      <c r="A52" s="698"/>
      <c r="B52" s="1015"/>
    </row>
    <row r="53" spans="1:2" x14ac:dyDescent="0.35">
      <c r="A53" s="698"/>
      <c r="B53" s="1015"/>
    </row>
    <row r="54" spans="1:2" x14ac:dyDescent="0.35">
      <c r="A54" s="698"/>
      <c r="B54" s="1015"/>
    </row>
    <row r="55" spans="1:2" x14ac:dyDescent="0.35">
      <c r="A55" s="698"/>
      <c r="B55" s="1015"/>
    </row>
    <row r="56" spans="1:2" x14ac:dyDescent="0.35">
      <c r="A56" s="698"/>
      <c r="B56" s="1015"/>
    </row>
    <row r="57" spans="1:2" x14ac:dyDescent="0.35">
      <c r="A57" s="698"/>
      <c r="B57" s="1015"/>
    </row>
    <row r="58" spans="1:2" x14ac:dyDescent="0.35">
      <c r="A58" s="698"/>
      <c r="B58" s="1015"/>
    </row>
    <row r="59" spans="1:2" x14ac:dyDescent="0.35">
      <c r="A59" s="698"/>
      <c r="B59" s="1015"/>
    </row>
    <row r="60" spans="1:2" x14ac:dyDescent="0.35">
      <c r="A60" s="698"/>
      <c r="B60" s="1015"/>
    </row>
    <row r="61" spans="1:2" x14ac:dyDescent="0.35">
      <c r="A61" s="698"/>
      <c r="B61" s="1015"/>
    </row>
    <row r="62" spans="1:2" x14ac:dyDescent="0.35">
      <c r="A62" s="698"/>
      <c r="B62" s="1015"/>
    </row>
    <row r="63" spans="1:2" x14ac:dyDescent="0.35">
      <c r="A63" s="698"/>
      <c r="B63" s="1015"/>
    </row>
    <row r="64" spans="1:2" x14ac:dyDescent="0.35">
      <c r="A64" s="698"/>
      <c r="B64" s="1015"/>
    </row>
    <row r="65" spans="1:2" x14ac:dyDescent="0.35">
      <c r="A65" s="698"/>
      <c r="B65" s="1015"/>
    </row>
    <row r="66" spans="1:2" x14ac:dyDescent="0.35">
      <c r="A66" s="698"/>
      <c r="B66" s="1015"/>
    </row>
    <row r="67" spans="1:2" x14ac:dyDescent="0.35">
      <c r="A67" s="698"/>
      <c r="B67" s="1015"/>
    </row>
    <row r="68" spans="1:2" x14ac:dyDescent="0.35">
      <c r="A68" s="698"/>
      <c r="B68" s="1015"/>
    </row>
    <row r="69" spans="1:2" x14ac:dyDescent="0.35">
      <c r="A69" s="698"/>
      <c r="B69" s="1015"/>
    </row>
    <row r="70" spans="1:2" x14ac:dyDescent="0.35">
      <c r="A70" s="698"/>
      <c r="B70" s="1015"/>
    </row>
    <row r="71" spans="1:2" x14ac:dyDescent="0.35">
      <c r="A71" s="698"/>
      <c r="B71" s="1015"/>
    </row>
    <row r="72" spans="1:2" x14ac:dyDescent="0.35">
      <c r="A72" s="698"/>
      <c r="B72" s="1015"/>
    </row>
    <row r="73" spans="1:2" x14ac:dyDescent="0.35">
      <c r="A73" s="698"/>
      <c r="B73" s="1015"/>
    </row>
    <row r="74" spans="1:2" x14ac:dyDescent="0.35">
      <c r="A74" s="698"/>
      <c r="B74" s="1015"/>
    </row>
    <row r="75" spans="1:2" x14ac:dyDescent="0.35">
      <c r="A75" s="698"/>
      <c r="B75" s="1015"/>
    </row>
    <row r="76" spans="1:2" x14ac:dyDescent="0.35">
      <c r="A76" s="698"/>
      <c r="B76" s="1015"/>
    </row>
    <row r="77" spans="1:2" x14ac:dyDescent="0.35">
      <c r="A77" s="698"/>
      <c r="B77" s="1015"/>
    </row>
    <row r="78" spans="1:2" x14ac:dyDescent="0.35">
      <c r="A78" s="698"/>
      <c r="B78" s="1015"/>
    </row>
    <row r="79" spans="1:2" x14ac:dyDescent="0.35">
      <c r="A79" s="698"/>
      <c r="B79" s="1015"/>
    </row>
    <row r="80" spans="1:2" x14ac:dyDescent="0.35">
      <c r="A80" s="698"/>
      <c r="B80" s="1015"/>
    </row>
    <row r="81" spans="1:2" x14ac:dyDescent="0.35">
      <c r="A81" s="698"/>
      <c r="B81" s="1015"/>
    </row>
    <row r="82" spans="1:2" x14ac:dyDescent="0.35">
      <c r="A82" s="698"/>
      <c r="B82" s="1015"/>
    </row>
    <row r="83" spans="1:2" x14ac:dyDescent="0.35">
      <c r="A83" s="698"/>
      <c r="B83" s="1015"/>
    </row>
    <row r="84" spans="1:2" x14ac:dyDescent="0.35">
      <c r="A84" s="698"/>
      <c r="B84" s="1015"/>
    </row>
    <row r="85" spans="1:2" x14ac:dyDescent="0.35">
      <c r="A85" s="698"/>
      <c r="B85" s="1015"/>
    </row>
    <row r="86" spans="1:2" x14ac:dyDescent="0.35">
      <c r="A86" s="698"/>
      <c r="B86" s="1015"/>
    </row>
    <row r="87" spans="1:2" x14ac:dyDescent="0.35">
      <c r="A87" s="698"/>
      <c r="B87" s="1015"/>
    </row>
    <row r="88" spans="1:2" x14ac:dyDescent="0.35">
      <c r="A88" s="698"/>
      <c r="B88" s="1015"/>
    </row>
    <row r="89" spans="1:2" x14ac:dyDescent="0.35">
      <c r="A89" s="698"/>
      <c r="B89" s="1015"/>
    </row>
    <row r="90" spans="1:2" x14ac:dyDescent="0.35">
      <c r="A90" s="698"/>
      <c r="B90" s="1015"/>
    </row>
    <row r="91" spans="1:2" x14ac:dyDescent="0.35">
      <c r="A91" s="698"/>
      <c r="B91" s="1015"/>
    </row>
    <row r="92" spans="1:2" x14ac:dyDescent="0.35">
      <c r="A92" s="698"/>
      <c r="B92" s="1015"/>
    </row>
    <row r="93" spans="1:2" x14ac:dyDescent="0.35">
      <c r="A93" s="698"/>
      <c r="B93" s="1015"/>
    </row>
    <row r="94" spans="1:2" x14ac:dyDescent="0.35">
      <c r="A94" s="698"/>
      <c r="B94" s="1015"/>
    </row>
    <row r="95" spans="1:2" x14ac:dyDescent="0.35">
      <c r="A95" s="698"/>
      <c r="B95" s="1015"/>
    </row>
    <row r="96" spans="1:2" x14ac:dyDescent="0.35">
      <c r="A96" s="698"/>
      <c r="B96" s="1015"/>
    </row>
    <row r="97" spans="1:2" x14ac:dyDescent="0.35">
      <c r="A97" s="698"/>
      <c r="B97" s="1015"/>
    </row>
    <row r="98" spans="1:2" x14ac:dyDescent="0.35">
      <c r="A98" s="698"/>
      <c r="B98" s="1015"/>
    </row>
    <row r="99" spans="1:2" x14ac:dyDescent="0.35">
      <c r="A99" s="698"/>
      <c r="B99" s="1015"/>
    </row>
    <row r="100" spans="1:2" x14ac:dyDescent="0.35">
      <c r="A100" s="698"/>
      <c r="B100" s="1015"/>
    </row>
    <row r="101" spans="1:2" x14ac:dyDescent="0.35">
      <c r="A101" s="698"/>
      <c r="B101" s="1015"/>
    </row>
    <row r="102" spans="1:2" x14ac:dyDescent="0.35">
      <c r="A102" s="698"/>
      <c r="B102" s="1015"/>
    </row>
    <row r="103" spans="1:2" x14ac:dyDescent="0.35">
      <c r="A103" s="698"/>
      <c r="B103" s="1015"/>
    </row>
    <row r="104" spans="1:2" x14ac:dyDescent="0.35">
      <c r="A104" s="698"/>
      <c r="B104" s="1015"/>
    </row>
    <row r="105" spans="1:2" x14ac:dyDescent="0.35">
      <c r="A105" s="698"/>
      <c r="B105" s="1015"/>
    </row>
    <row r="106" spans="1:2" x14ac:dyDescent="0.35">
      <c r="A106" s="698"/>
      <c r="B106" s="1015"/>
    </row>
    <row r="107" spans="1:2" x14ac:dyDescent="0.35">
      <c r="A107" s="698"/>
      <c r="B107" s="1015"/>
    </row>
    <row r="108" spans="1:2" x14ac:dyDescent="0.35">
      <c r="A108" s="698"/>
      <c r="B108" s="1015"/>
    </row>
    <row r="109" spans="1:2" x14ac:dyDescent="0.35">
      <c r="A109" s="698"/>
      <c r="B109" s="1015"/>
    </row>
    <row r="110" spans="1:2" x14ac:dyDescent="0.35">
      <c r="A110" s="698"/>
      <c r="B110" s="1015"/>
    </row>
    <row r="111" spans="1:2" x14ac:dyDescent="0.35">
      <c r="A111" s="698"/>
      <c r="B111" s="1015"/>
    </row>
    <row r="112" spans="1:2" x14ac:dyDescent="0.35">
      <c r="A112" s="698"/>
      <c r="B112" s="1015"/>
    </row>
    <row r="113" spans="1:2" x14ac:dyDescent="0.35">
      <c r="A113" s="698"/>
      <c r="B113" s="1015"/>
    </row>
    <row r="114" spans="1:2" x14ac:dyDescent="0.35">
      <c r="A114" s="698"/>
      <c r="B114" s="1015"/>
    </row>
    <row r="115" spans="1:2" x14ac:dyDescent="0.35">
      <c r="A115" s="698"/>
      <c r="B115" s="1015"/>
    </row>
    <row r="116" spans="1:2" x14ac:dyDescent="0.35">
      <c r="A116" s="698"/>
      <c r="B116" s="1015"/>
    </row>
    <row r="117" spans="1:2" x14ac:dyDescent="0.35">
      <c r="A117" s="698"/>
      <c r="B117" s="1015"/>
    </row>
    <row r="118" spans="1:2" x14ac:dyDescent="0.35">
      <c r="A118" s="698"/>
      <c r="B118" s="1015"/>
    </row>
    <row r="119" spans="1:2" x14ac:dyDescent="0.35">
      <c r="A119" s="698"/>
      <c r="B119" s="1015"/>
    </row>
    <row r="120" spans="1:2" x14ac:dyDescent="0.35">
      <c r="A120" s="698"/>
      <c r="B120" s="1015"/>
    </row>
    <row r="121" spans="1:2" x14ac:dyDescent="0.35">
      <c r="A121" s="698"/>
      <c r="B121" s="1015"/>
    </row>
    <row r="122" spans="1:2" x14ac:dyDescent="0.35">
      <c r="A122" s="698"/>
      <c r="B122" s="1015"/>
    </row>
    <row r="123" spans="1:2" x14ac:dyDescent="0.35">
      <c r="A123" s="698"/>
      <c r="B123" s="1015"/>
    </row>
    <row r="124" spans="1:2" x14ac:dyDescent="0.35">
      <c r="A124" s="698"/>
      <c r="B124" s="1015"/>
    </row>
    <row r="125" spans="1:2" x14ac:dyDescent="0.35">
      <c r="A125" s="698"/>
      <c r="B125" s="1015"/>
    </row>
    <row r="126" spans="1:2" x14ac:dyDescent="0.35">
      <c r="A126" s="698"/>
      <c r="B126" s="1015"/>
    </row>
    <row r="127" spans="1:2" x14ac:dyDescent="0.35">
      <c r="A127" s="698"/>
      <c r="B127" s="1015"/>
    </row>
    <row r="128" spans="1:2" x14ac:dyDescent="0.35">
      <c r="A128" s="698"/>
      <c r="B128" s="1015"/>
    </row>
    <row r="129" spans="1:2" x14ac:dyDescent="0.35">
      <c r="A129" s="698"/>
      <c r="B129" s="1015"/>
    </row>
    <row r="130" spans="1:2" x14ac:dyDescent="0.35">
      <c r="A130" s="698"/>
      <c r="B130" s="1015"/>
    </row>
    <row r="131" spans="1:2" x14ac:dyDescent="0.35">
      <c r="A131" s="698"/>
      <c r="B131" s="1015"/>
    </row>
    <row r="132" spans="1:2" x14ac:dyDescent="0.35">
      <c r="A132" s="698"/>
      <c r="B132" s="1015"/>
    </row>
    <row r="133" spans="1:2" x14ac:dyDescent="0.35">
      <c r="A133" s="698"/>
      <c r="B133" s="1015"/>
    </row>
    <row r="134" spans="1:2" x14ac:dyDescent="0.35">
      <c r="A134" s="698"/>
      <c r="B134" s="1015"/>
    </row>
    <row r="135" spans="1:2" x14ac:dyDescent="0.35">
      <c r="A135" s="698"/>
      <c r="B135" s="1015"/>
    </row>
    <row r="136" spans="1:2" x14ac:dyDescent="0.35">
      <c r="A136" s="698"/>
      <c r="B136" s="1015"/>
    </row>
    <row r="137" spans="1:2" x14ac:dyDescent="0.35">
      <c r="A137" s="698"/>
      <c r="B137" s="1015"/>
    </row>
    <row r="138" spans="1:2" x14ac:dyDescent="0.35">
      <c r="A138" s="698"/>
      <c r="B138" s="1015"/>
    </row>
    <row r="139" spans="1:2" x14ac:dyDescent="0.35">
      <c r="A139" s="698"/>
      <c r="B139" s="1015"/>
    </row>
    <row r="140" spans="1:2" x14ac:dyDescent="0.35">
      <c r="A140" s="698"/>
      <c r="B140" s="1015"/>
    </row>
    <row r="141" spans="1:2" x14ac:dyDescent="0.35">
      <c r="A141" s="698"/>
      <c r="B141" s="1015"/>
    </row>
    <row r="142" spans="1:2" x14ac:dyDescent="0.35">
      <c r="A142" s="698"/>
      <c r="B142" s="1015"/>
    </row>
    <row r="143" spans="1:2" x14ac:dyDescent="0.35">
      <c r="A143" s="698"/>
      <c r="B143" s="1015"/>
    </row>
    <row r="144" spans="1:2" x14ac:dyDescent="0.35">
      <c r="A144" s="698"/>
      <c r="B144" s="1015"/>
    </row>
    <row r="145" spans="1:2" x14ac:dyDescent="0.35">
      <c r="A145" s="698"/>
      <c r="B145" s="1015"/>
    </row>
    <row r="146" spans="1:2" x14ac:dyDescent="0.35">
      <c r="A146" s="698"/>
      <c r="B146" s="1015"/>
    </row>
    <row r="147" spans="1:2" x14ac:dyDescent="0.35">
      <c r="A147" s="698"/>
      <c r="B147" s="1015"/>
    </row>
    <row r="148" spans="1:2" x14ac:dyDescent="0.35">
      <c r="A148" s="698"/>
      <c r="B148" s="1015"/>
    </row>
    <row r="149" spans="1:2" x14ac:dyDescent="0.35">
      <c r="A149" s="698"/>
      <c r="B149" s="1015"/>
    </row>
    <row r="150" spans="1:2" x14ac:dyDescent="0.35">
      <c r="A150" s="698"/>
      <c r="B150" s="1015"/>
    </row>
    <row r="151" spans="1:2" x14ac:dyDescent="0.35">
      <c r="A151" s="698"/>
      <c r="B151" s="1015"/>
    </row>
    <row r="152" spans="1:2" ht="12.75" customHeight="1" x14ac:dyDescent="0.35">
      <c r="A152" s="404"/>
      <c r="B152" s="1015"/>
    </row>
    <row r="153" spans="1:2" x14ac:dyDescent="0.35">
      <c r="A153" s="404"/>
      <c r="B153" s="1015"/>
    </row>
    <row r="154" spans="1:2" x14ac:dyDescent="0.35">
      <c r="A154" s="404"/>
      <c r="B154" s="1015"/>
    </row>
    <row r="155" spans="1:2" x14ac:dyDescent="0.35">
      <c r="A155" s="404"/>
      <c r="B155" s="1015"/>
    </row>
    <row r="156" spans="1:2" x14ac:dyDescent="0.35">
      <c r="A156" s="404"/>
      <c r="B156" s="1015"/>
    </row>
    <row r="157" spans="1:2" x14ac:dyDescent="0.35">
      <c r="A157" s="404"/>
      <c r="B157" s="1015"/>
    </row>
    <row r="158" spans="1:2" ht="12.75" customHeight="1" x14ac:dyDescent="0.35">
      <c r="A158" s="404"/>
      <c r="B158" s="1015"/>
    </row>
    <row r="159" spans="1:2" x14ac:dyDescent="0.35">
      <c r="A159" s="404"/>
      <c r="B159" s="1015"/>
    </row>
    <row r="160" spans="1:2" x14ac:dyDescent="0.35">
      <c r="A160" s="404"/>
      <c r="B160" s="1015"/>
    </row>
    <row r="161" spans="1:2" x14ac:dyDescent="0.35">
      <c r="A161" s="404"/>
      <c r="B161" s="1015"/>
    </row>
    <row r="162" spans="1:2" x14ac:dyDescent="0.35">
      <c r="A162" s="404"/>
      <c r="B162" s="1015"/>
    </row>
    <row r="163" spans="1:2" ht="12.65" customHeight="1" x14ac:dyDescent="0.35">
      <c r="A163" s="404"/>
      <c r="B163" s="1015"/>
    </row>
    <row r="164" spans="1:2" x14ac:dyDescent="0.35">
      <c r="A164" s="404"/>
      <c r="B164" s="1015"/>
    </row>
    <row r="165" spans="1:2" x14ac:dyDescent="0.35">
      <c r="A165" s="404"/>
      <c r="B165" s="1015"/>
    </row>
    <row r="166" spans="1:2" x14ac:dyDescent="0.35">
      <c r="A166" s="404"/>
      <c r="B166" s="1015"/>
    </row>
    <row r="167" spans="1:2" x14ac:dyDescent="0.35">
      <c r="A167" s="404"/>
      <c r="B167" s="1015"/>
    </row>
    <row r="168" spans="1:2" x14ac:dyDescent="0.35">
      <c r="A168" s="404"/>
      <c r="B168" s="1015"/>
    </row>
    <row r="169" spans="1:2" x14ac:dyDescent="0.35">
      <c r="A169" s="404"/>
      <c r="B169" s="1015"/>
    </row>
    <row r="170" spans="1:2" x14ac:dyDescent="0.35">
      <c r="A170" s="405"/>
      <c r="B170" s="1015"/>
    </row>
    <row r="171" spans="1:2" x14ac:dyDescent="0.35">
      <c r="A171" s="405"/>
      <c r="B171" s="1015"/>
    </row>
    <row r="172" spans="1:2" x14ac:dyDescent="0.35">
      <c r="A172" s="405"/>
      <c r="B172" s="1015"/>
    </row>
    <row r="173" spans="1:2" x14ac:dyDescent="0.35">
      <c r="A173" s="405"/>
      <c r="B173" s="1015"/>
    </row>
    <row r="174" spans="1:2" x14ac:dyDescent="0.35">
      <c r="A174" s="405"/>
      <c r="B174" s="1015"/>
    </row>
    <row r="175" spans="1:2" x14ac:dyDescent="0.35">
      <c r="A175" s="405"/>
      <c r="B175" s="1015"/>
    </row>
    <row r="176" spans="1:2" x14ac:dyDescent="0.35">
      <c r="A176" s="405"/>
      <c r="B176" s="1015"/>
    </row>
    <row r="177" spans="1:2" x14ac:dyDescent="0.35">
      <c r="A177" s="405"/>
      <c r="B177" s="1015"/>
    </row>
    <row r="178" spans="1:2" x14ac:dyDescent="0.35">
      <c r="A178" s="405"/>
      <c r="B178" s="1015"/>
    </row>
    <row r="179" spans="1:2" x14ac:dyDescent="0.35">
      <c r="A179" s="405"/>
      <c r="B179" s="1015"/>
    </row>
    <row r="180" spans="1:2" x14ac:dyDescent="0.35">
      <c r="A180" s="405"/>
      <c r="B180" s="1015"/>
    </row>
    <row r="181" spans="1:2" ht="109" customHeight="1" x14ac:dyDescent="0.35">
      <c r="A181" s="405"/>
      <c r="B181" s="1015"/>
    </row>
    <row r="182" spans="1:2" x14ac:dyDescent="0.35">
      <c r="A182" s="405"/>
      <c r="B182" s="404"/>
    </row>
    <row r="183" spans="1:2" x14ac:dyDescent="0.35">
      <c r="A183" s="405"/>
      <c r="B183" s="404"/>
    </row>
    <row r="184" spans="1:2" x14ac:dyDescent="0.35">
      <c r="A184" s="405"/>
      <c r="B184" s="404"/>
    </row>
    <row r="185" spans="1:2" x14ac:dyDescent="0.35">
      <c r="A185" s="405"/>
      <c r="B185" s="404"/>
    </row>
    <row r="186" spans="1:2" x14ac:dyDescent="0.35">
      <c r="A186" s="405"/>
      <c r="B186" s="404"/>
    </row>
    <row r="187" spans="1:2" x14ac:dyDescent="0.35">
      <c r="A187" s="405"/>
      <c r="B187" s="404"/>
    </row>
    <row r="188" spans="1:2" x14ac:dyDescent="0.35">
      <c r="A188" s="405"/>
      <c r="B188" s="404"/>
    </row>
    <row r="189" spans="1:2" x14ac:dyDescent="0.35">
      <c r="A189" s="405"/>
      <c r="B189" s="404"/>
    </row>
    <row r="190" spans="1:2" x14ac:dyDescent="0.35">
      <c r="A190" s="405"/>
      <c r="B190" s="404"/>
    </row>
    <row r="191" spans="1:2" x14ac:dyDescent="0.35">
      <c r="A191" s="405"/>
      <c r="B191" s="404"/>
    </row>
    <row r="192" spans="1:2" x14ac:dyDescent="0.35">
      <c r="A192" s="405"/>
      <c r="B192" s="404"/>
    </row>
    <row r="193" spans="1:2" x14ac:dyDescent="0.35">
      <c r="A193" s="405"/>
      <c r="B193" s="404"/>
    </row>
    <row r="194" spans="1:2" x14ac:dyDescent="0.35">
      <c r="A194" s="405"/>
      <c r="B194" s="404"/>
    </row>
    <row r="195" spans="1:2" x14ac:dyDescent="0.35">
      <c r="A195" s="405"/>
      <c r="B195" s="404"/>
    </row>
    <row r="196" spans="1:2" x14ac:dyDescent="0.35">
      <c r="A196" s="405"/>
      <c r="B196" s="404"/>
    </row>
    <row r="197" spans="1:2" x14ac:dyDescent="0.35">
      <c r="A197" s="405"/>
      <c r="B197" s="404"/>
    </row>
    <row r="198" spans="1:2" x14ac:dyDescent="0.35">
      <c r="A198" s="405"/>
      <c r="B198" s="404"/>
    </row>
    <row r="199" spans="1:2" x14ac:dyDescent="0.35">
      <c r="A199" s="405"/>
      <c r="B199" s="404"/>
    </row>
    <row r="200" spans="1:2" x14ac:dyDescent="0.35">
      <c r="A200" s="405"/>
      <c r="B200" s="404"/>
    </row>
    <row r="201" spans="1:2" x14ac:dyDescent="0.35">
      <c r="A201" s="405"/>
      <c r="B201" s="404"/>
    </row>
    <row r="202" spans="1:2" x14ac:dyDescent="0.35">
      <c r="A202" s="405"/>
      <c r="B202" s="404"/>
    </row>
    <row r="203" spans="1:2" x14ac:dyDescent="0.35">
      <c r="A203" s="405"/>
      <c r="B203" s="404"/>
    </row>
    <row r="204" spans="1:2" x14ac:dyDescent="0.35">
      <c r="A204" s="405"/>
      <c r="B204" s="404"/>
    </row>
    <row r="205" spans="1:2" x14ac:dyDescent="0.35">
      <c r="A205" s="405"/>
    </row>
    <row r="206" spans="1:2" x14ac:dyDescent="0.35">
      <c r="A206" s="405"/>
    </row>
    <row r="207" spans="1:2" x14ac:dyDescent="0.35">
      <c r="A207" s="405"/>
    </row>
    <row r="208" spans="1:2" x14ac:dyDescent="0.35">
      <c r="A208" s="405"/>
    </row>
    <row r="209" spans="1:1" x14ac:dyDescent="0.35">
      <c r="A209" s="405"/>
    </row>
    <row r="210" spans="1:1" x14ac:dyDescent="0.35">
      <c r="A210" s="405"/>
    </row>
    <row r="211" spans="1:1" x14ac:dyDescent="0.35">
      <c r="A211" s="405"/>
    </row>
    <row r="212" spans="1:1" x14ac:dyDescent="0.35">
      <c r="A212" s="405"/>
    </row>
    <row r="213" spans="1:1" x14ac:dyDescent="0.35">
      <c r="A213" s="405"/>
    </row>
    <row r="214" spans="1:1" x14ac:dyDescent="0.35">
      <c r="A214" s="405"/>
    </row>
    <row r="215" spans="1:1" x14ac:dyDescent="0.35">
      <c r="A215" s="405"/>
    </row>
    <row r="216" spans="1:1" x14ac:dyDescent="0.35">
      <c r="A216" s="405"/>
    </row>
    <row r="217" spans="1:1" x14ac:dyDescent="0.35">
      <c r="A217" s="405"/>
    </row>
    <row r="218" spans="1:1" x14ac:dyDescent="0.35">
      <c r="A218" s="405"/>
    </row>
    <row r="219" spans="1:1" x14ac:dyDescent="0.35">
      <c r="A219" s="405"/>
    </row>
    <row r="220" spans="1:1" x14ac:dyDescent="0.35">
      <c r="A220" s="405"/>
    </row>
    <row r="221" spans="1:1" x14ac:dyDescent="0.35">
      <c r="A221" s="405"/>
    </row>
    <row r="222" spans="1:1" x14ac:dyDescent="0.35">
      <c r="A222" s="405"/>
    </row>
    <row r="223" spans="1:1" x14ac:dyDescent="0.35">
      <c r="A223" s="405"/>
    </row>
    <row r="224" spans="1:1" x14ac:dyDescent="0.35">
      <c r="A224" s="405"/>
    </row>
    <row r="225" spans="1:1" x14ac:dyDescent="0.35">
      <c r="A225" s="405"/>
    </row>
    <row r="226" spans="1:1" x14ac:dyDescent="0.35">
      <c r="A226" s="405"/>
    </row>
    <row r="227" spans="1:1" x14ac:dyDescent="0.35">
      <c r="A227" s="405"/>
    </row>
    <row r="228" spans="1:1" x14ac:dyDescent="0.35">
      <c r="A228" s="405"/>
    </row>
    <row r="229" spans="1:1" x14ac:dyDescent="0.35">
      <c r="A229" s="405"/>
    </row>
    <row r="230" spans="1:1" x14ac:dyDescent="0.35">
      <c r="A230" s="405"/>
    </row>
    <row r="231" spans="1:1" x14ac:dyDescent="0.35">
      <c r="A231" s="405"/>
    </row>
    <row r="232" spans="1:1" x14ac:dyDescent="0.35">
      <c r="A232" s="405"/>
    </row>
    <row r="233" spans="1:1" x14ac:dyDescent="0.35">
      <c r="A233" s="405"/>
    </row>
    <row r="234" spans="1:1" x14ac:dyDescent="0.35">
      <c r="A234" s="405"/>
    </row>
    <row r="235" spans="1:1" x14ac:dyDescent="0.35">
      <c r="A235" s="405"/>
    </row>
    <row r="236" spans="1:1" x14ac:dyDescent="0.35">
      <c r="A236" s="405"/>
    </row>
    <row r="237" spans="1:1" x14ac:dyDescent="0.35">
      <c r="A237" s="405"/>
    </row>
    <row r="238" spans="1:1" x14ac:dyDescent="0.35">
      <c r="A238" s="405"/>
    </row>
    <row r="239" spans="1:1" x14ac:dyDescent="0.35">
      <c r="A239" s="405"/>
    </row>
    <row r="240" spans="1:1" x14ac:dyDescent="0.35">
      <c r="A240" s="405"/>
    </row>
    <row r="241" spans="1:1" x14ac:dyDescent="0.35">
      <c r="A241" s="405"/>
    </row>
    <row r="242" spans="1:1" x14ac:dyDescent="0.35">
      <c r="A242" s="405"/>
    </row>
    <row r="243" spans="1:1" x14ac:dyDescent="0.35">
      <c r="A243" s="405"/>
    </row>
    <row r="244" spans="1:1" x14ac:dyDescent="0.35">
      <c r="A244" s="405"/>
    </row>
    <row r="245" spans="1:1" x14ac:dyDescent="0.35">
      <c r="A245" s="405"/>
    </row>
    <row r="246" spans="1:1" x14ac:dyDescent="0.35">
      <c r="A246" s="405"/>
    </row>
    <row r="247" spans="1:1" x14ac:dyDescent="0.35">
      <c r="A247" s="405"/>
    </row>
    <row r="248" spans="1:1" x14ac:dyDescent="0.35">
      <c r="A248" s="405"/>
    </row>
    <row r="249" spans="1:1" x14ac:dyDescent="0.35">
      <c r="A249" s="405"/>
    </row>
    <row r="250" spans="1:1" x14ac:dyDescent="0.35">
      <c r="A250" s="405"/>
    </row>
    <row r="251" spans="1:1" x14ac:dyDescent="0.35">
      <c r="A251" s="405"/>
    </row>
    <row r="252" spans="1:1" x14ac:dyDescent="0.35">
      <c r="A252" s="405"/>
    </row>
    <row r="253" spans="1:1" x14ac:dyDescent="0.35">
      <c r="A253" s="405"/>
    </row>
    <row r="254" spans="1:1" x14ac:dyDescent="0.35">
      <c r="A254" s="405"/>
    </row>
    <row r="255" spans="1:1" x14ac:dyDescent="0.35">
      <c r="A255" s="405"/>
    </row>
    <row r="256" spans="1:1" x14ac:dyDescent="0.35">
      <c r="A256" s="405"/>
    </row>
    <row r="257" spans="1:1" x14ac:dyDescent="0.35">
      <c r="A257" s="405"/>
    </row>
    <row r="258" spans="1:1" x14ac:dyDescent="0.35">
      <c r="A258" s="405"/>
    </row>
    <row r="259" spans="1:1" x14ac:dyDescent="0.35">
      <c r="A259" s="405"/>
    </row>
    <row r="260" spans="1:1" x14ac:dyDescent="0.35">
      <c r="A260" s="405"/>
    </row>
    <row r="261" spans="1:1" x14ac:dyDescent="0.35">
      <c r="A261" s="405"/>
    </row>
    <row r="262" spans="1:1" x14ac:dyDescent="0.35">
      <c r="A262" s="405"/>
    </row>
    <row r="263" spans="1:1" x14ac:dyDescent="0.35">
      <c r="A263" s="405"/>
    </row>
    <row r="264" spans="1:1" x14ac:dyDescent="0.35">
      <c r="A264" s="405"/>
    </row>
    <row r="265" spans="1:1" x14ac:dyDescent="0.35">
      <c r="A265" s="405"/>
    </row>
    <row r="266" spans="1:1" x14ac:dyDescent="0.35">
      <c r="A266" s="405"/>
    </row>
    <row r="267" spans="1:1" x14ac:dyDescent="0.35">
      <c r="A267" s="405"/>
    </row>
    <row r="268" spans="1:1" x14ac:dyDescent="0.35">
      <c r="A268" s="405"/>
    </row>
    <row r="269" spans="1:1" x14ac:dyDescent="0.35">
      <c r="A269" s="405"/>
    </row>
    <row r="270" spans="1:1" x14ac:dyDescent="0.35">
      <c r="A270" s="405"/>
    </row>
    <row r="271" spans="1:1" x14ac:dyDescent="0.35">
      <c r="A271" s="405"/>
    </row>
    <row r="272" spans="1:1" x14ac:dyDescent="0.35">
      <c r="A272" s="405"/>
    </row>
    <row r="273" spans="1:1" x14ac:dyDescent="0.35">
      <c r="A273" s="405"/>
    </row>
    <row r="274" spans="1:1" x14ac:dyDescent="0.35">
      <c r="A274" s="405"/>
    </row>
    <row r="275" spans="1:1" x14ac:dyDescent="0.35">
      <c r="A275" s="405"/>
    </row>
    <row r="276" spans="1:1" x14ac:dyDescent="0.35">
      <c r="A276" s="405"/>
    </row>
    <row r="277" spans="1:1" x14ac:dyDescent="0.35">
      <c r="A277" s="405"/>
    </row>
    <row r="278" spans="1:1" x14ac:dyDescent="0.35">
      <c r="A278" s="405"/>
    </row>
    <row r="279" spans="1:1" x14ac:dyDescent="0.35">
      <c r="A279" s="405"/>
    </row>
    <row r="280" spans="1:1" x14ac:dyDescent="0.35">
      <c r="A280" s="405"/>
    </row>
    <row r="281" spans="1:1" x14ac:dyDescent="0.35">
      <c r="A281" s="405"/>
    </row>
    <row r="282" spans="1:1" x14ac:dyDescent="0.35">
      <c r="A282" s="405"/>
    </row>
    <row r="283" spans="1:1" x14ac:dyDescent="0.35">
      <c r="A283" s="405"/>
    </row>
    <row r="284" spans="1:1" x14ac:dyDescent="0.35">
      <c r="A284" s="405"/>
    </row>
    <row r="285" spans="1:1" x14ac:dyDescent="0.35">
      <c r="A285" s="405"/>
    </row>
    <row r="286" spans="1:1" x14ac:dyDescent="0.35">
      <c r="A286" s="405"/>
    </row>
    <row r="287" spans="1:1" x14ac:dyDescent="0.35">
      <c r="A287" s="405"/>
    </row>
    <row r="288" spans="1:1" x14ac:dyDescent="0.35">
      <c r="A288" s="405"/>
    </row>
    <row r="289" spans="1:1" x14ac:dyDescent="0.35">
      <c r="A289" s="405"/>
    </row>
    <row r="290" spans="1:1" x14ac:dyDescent="0.35">
      <c r="A290" s="405"/>
    </row>
    <row r="291" spans="1:1" x14ac:dyDescent="0.35">
      <c r="A291" s="405"/>
    </row>
    <row r="292" spans="1:1" x14ac:dyDescent="0.35">
      <c r="A292" s="405"/>
    </row>
    <row r="293" spans="1:1" x14ac:dyDescent="0.35">
      <c r="A293" s="405"/>
    </row>
    <row r="294" spans="1:1" x14ac:dyDescent="0.35">
      <c r="A294" s="405"/>
    </row>
    <row r="295" spans="1:1" x14ac:dyDescent="0.35">
      <c r="A295" s="405"/>
    </row>
    <row r="296" spans="1:1" x14ac:dyDescent="0.35">
      <c r="A296" s="405"/>
    </row>
    <row r="297" spans="1:1" x14ac:dyDescent="0.35">
      <c r="A297" s="405"/>
    </row>
    <row r="298" spans="1:1" x14ac:dyDescent="0.35">
      <c r="A298" s="405"/>
    </row>
    <row r="299" spans="1:1" x14ac:dyDescent="0.35">
      <c r="A299" s="405"/>
    </row>
    <row r="300" spans="1:1" x14ac:dyDescent="0.35">
      <c r="A300" s="405"/>
    </row>
    <row r="301" spans="1:1" x14ac:dyDescent="0.35">
      <c r="A301" s="405"/>
    </row>
    <row r="302" spans="1:1" x14ac:dyDescent="0.35">
      <c r="A302" s="405"/>
    </row>
    <row r="303" spans="1:1" x14ac:dyDescent="0.35">
      <c r="A303" s="405"/>
    </row>
    <row r="304" spans="1:1" x14ac:dyDescent="0.35">
      <c r="A304" s="405"/>
    </row>
    <row r="305" spans="1:1" x14ac:dyDescent="0.35">
      <c r="A305" s="405"/>
    </row>
    <row r="306" spans="1:1" x14ac:dyDescent="0.35">
      <c r="A306" s="405"/>
    </row>
    <row r="307" spans="1:1" x14ac:dyDescent="0.35">
      <c r="A307" s="405"/>
    </row>
    <row r="308" spans="1:1" x14ac:dyDescent="0.35">
      <c r="A308" s="405"/>
    </row>
    <row r="309" spans="1:1" x14ac:dyDescent="0.35">
      <c r="A309" s="405"/>
    </row>
    <row r="310" spans="1:1" x14ac:dyDescent="0.35">
      <c r="A310" s="405"/>
    </row>
    <row r="311" spans="1:1" x14ac:dyDescent="0.35">
      <c r="A311" s="405"/>
    </row>
  </sheetData>
  <sheetProtection algorithmName="SHA-512" hashValue="+q+oqDpySAGdY3K5cQkWp2SCOS4nKlZxEiWcYjBdta+ZyVCu5+MRbnePyDEwzo3sY/HG0JNxljeGGQhLO+YokA==" saltValue="zEDq4j9NpcKP287zppRYkQ==" spinCount="100000" sheet="1" objects="1" scenarios="1"/>
  <mergeCells count="1">
    <mergeCell ref="B1:B181"/>
  </mergeCells>
  <phoneticPr fontId="51" type="noConversion"/>
  <pageMargins left="0.70866141732283472" right="0.70866141732283472" top="0.74803149606299213" bottom="0.74803149606299213" header="0.31496062992125984" footer="0.31496062992125984"/>
  <pageSetup paperSize="9" scale="51" fitToHeight="2" orientation="portrait" r:id="rId1"/>
  <headerFooter>
    <oddHeader xml:space="preserve">&amp;CLincolnshire County Council 
</oddHeader>
    <oddFooter>&amp;C2024/25 Special School Budget Share Calculation
ISB Weightings</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18DE-D34B-49D8-A797-72FB952ADBDD}">
  <sheetPr>
    <tabColor theme="8" tint="0.39997558519241921"/>
  </sheetPr>
  <dimension ref="A2:M37"/>
  <sheetViews>
    <sheetView topLeftCell="E6" workbookViewId="0">
      <selection activeCell="I10" sqref="I10"/>
    </sheetView>
  </sheetViews>
  <sheetFormatPr defaultRowHeight="12.5" x14ac:dyDescent="0.25"/>
  <cols>
    <col min="1" max="1" width="11.26953125" customWidth="1"/>
    <col min="3" max="7" width="25.7265625" style="2" customWidth="1"/>
    <col min="8" max="17" width="25.7265625" customWidth="1"/>
  </cols>
  <sheetData>
    <row r="2" spans="1:13" ht="13" x14ac:dyDescent="0.3">
      <c r="A2" t="s">
        <v>419</v>
      </c>
      <c r="H2" s="1045" t="s">
        <v>417</v>
      </c>
      <c r="I2" s="1045"/>
      <c r="J2" s="1045" t="s">
        <v>418</v>
      </c>
      <c r="K2" s="1045"/>
    </row>
    <row r="3" spans="1:13" ht="13" x14ac:dyDescent="0.3">
      <c r="B3" s="1045" t="s">
        <v>420</v>
      </c>
      <c r="C3" s="1045"/>
      <c r="E3" s="1045" t="s">
        <v>421</v>
      </c>
      <c r="F3" s="1045"/>
      <c r="H3" s="2" t="s">
        <v>422</v>
      </c>
      <c r="I3" s="109" t="s">
        <v>423</v>
      </c>
      <c r="J3" s="2" t="s">
        <v>422</v>
      </c>
      <c r="K3" s="109" t="s">
        <v>423</v>
      </c>
    </row>
    <row r="4" spans="1:13" x14ac:dyDescent="0.25">
      <c r="B4" s="2">
        <v>600</v>
      </c>
      <c r="C4" s="7">
        <v>600000</v>
      </c>
      <c r="D4" s="38" t="s">
        <v>244</v>
      </c>
      <c r="E4" s="664">
        <f t="shared" ref="E4:E14" si="0">(C4*1.1)*1.03</f>
        <v>679800</v>
      </c>
      <c r="F4" s="7">
        <f>E4</f>
        <v>679800</v>
      </c>
      <c r="G4" s="7"/>
      <c r="H4" s="664">
        <f>316450*1.03</f>
        <v>325943.5</v>
      </c>
      <c r="I4" s="664">
        <v>106090</v>
      </c>
      <c r="J4" s="664">
        <f>277282*1.03</f>
        <v>285600.46000000002</v>
      </c>
      <c r="K4" s="664">
        <f>K21*1.03</f>
        <v>91206.5</v>
      </c>
      <c r="L4" s="665">
        <f t="shared" ref="L4:L12" si="1">(I4-I21)/I21</f>
        <v>0.03</v>
      </c>
      <c r="M4" s="666">
        <f t="shared" ref="M4:M12" si="2">I21*1.03</f>
        <v>106090</v>
      </c>
    </row>
    <row r="5" spans="1:13" x14ac:dyDescent="0.25">
      <c r="B5" s="2">
        <v>100</v>
      </c>
      <c r="C5" s="7">
        <v>700000</v>
      </c>
      <c r="D5" s="38" t="s">
        <v>245</v>
      </c>
      <c r="E5" s="664">
        <f t="shared" si="0"/>
        <v>793100.00000000012</v>
      </c>
      <c r="F5" s="7">
        <f>E5-E4</f>
        <v>113300.00000000012</v>
      </c>
      <c r="G5" s="7"/>
      <c r="H5" s="664">
        <f>(H6+H4)/2</f>
        <v>362699.05000000005</v>
      </c>
      <c r="I5" s="664">
        <f>(I6+I4)/2</f>
        <v>111394.5</v>
      </c>
      <c r="J5" s="664">
        <f>(J6+J4)/2</f>
        <v>330775.23</v>
      </c>
      <c r="K5" s="664">
        <f>K22*1.03</f>
        <v>91206.5</v>
      </c>
      <c r="L5" s="665">
        <f t="shared" si="1"/>
        <v>0.03</v>
      </c>
      <c r="M5" s="666">
        <f t="shared" si="2"/>
        <v>111394.5</v>
      </c>
    </row>
    <row r="6" spans="1:13" x14ac:dyDescent="0.25">
      <c r="B6" s="2">
        <v>250</v>
      </c>
      <c r="C6" s="7">
        <v>950000</v>
      </c>
      <c r="D6" s="38" t="s">
        <v>246</v>
      </c>
      <c r="E6" s="664">
        <f t="shared" si="0"/>
        <v>1076350.0000000002</v>
      </c>
      <c r="F6" s="173">
        <f>E6-E5</f>
        <v>283250.00000000012</v>
      </c>
      <c r="G6" s="7"/>
      <c r="H6" s="664">
        <f>387820*1.03</f>
        <v>399454.60000000003</v>
      </c>
      <c r="I6" s="664">
        <f>M6</f>
        <v>116699</v>
      </c>
      <c r="J6" s="664">
        <f>365000*1.03</f>
        <v>375950</v>
      </c>
      <c r="K6" s="664">
        <f>K23*1.03</f>
        <v>91206.5</v>
      </c>
      <c r="L6" s="665">
        <f t="shared" si="1"/>
        <v>0.03</v>
      </c>
      <c r="M6" s="666">
        <f t="shared" si="2"/>
        <v>116699</v>
      </c>
    </row>
    <row r="7" spans="1:13" x14ac:dyDescent="0.25">
      <c r="A7">
        <f t="shared" ref="A7:A14" si="3">B7-B5</f>
        <v>50</v>
      </c>
      <c r="B7" s="2">
        <v>150</v>
      </c>
      <c r="C7" s="7">
        <v>1100000</v>
      </c>
      <c r="D7" s="38" t="s">
        <v>247</v>
      </c>
      <c r="E7" s="664">
        <f t="shared" si="0"/>
        <v>1246300</v>
      </c>
      <c r="F7" s="7">
        <f>E7-E6</f>
        <v>169949.99999999977</v>
      </c>
      <c r="G7" s="7">
        <f>F7-F5</f>
        <v>56649.999999999651</v>
      </c>
      <c r="H7" s="664">
        <f>(H8+H6)/2</f>
        <v>438718.2</v>
      </c>
      <c r="I7" s="664">
        <f>(I8+I6)/2</f>
        <v>122003.5</v>
      </c>
      <c r="J7" s="664">
        <f>(J8+J6)/2</f>
        <v>394773.25</v>
      </c>
      <c r="K7" s="664">
        <f>K24*1.03</f>
        <v>91206.5</v>
      </c>
      <c r="L7" s="665">
        <f t="shared" si="1"/>
        <v>0.03</v>
      </c>
      <c r="M7" s="666">
        <f t="shared" si="2"/>
        <v>122003.5</v>
      </c>
    </row>
    <row r="8" spans="1:13" x14ac:dyDescent="0.25">
      <c r="A8">
        <f t="shared" si="3"/>
        <v>50</v>
      </c>
      <c r="B8" s="2">
        <v>300</v>
      </c>
      <c r="C8" s="7">
        <v>1400000</v>
      </c>
      <c r="D8" s="38" t="s">
        <v>248</v>
      </c>
      <c r="E8" s="664">
        <f t="shared" si="0"/>
        <v>1586200.0000000002</v>
      </c>
      <c r="F8" s="173">
        <f t="shared" ref="F8:F13" si="4">E8-E7</f>
        <v>339900.00000000023</v>
      </c>
      <c r="G8" s="173">
        <f>F8-F6</f>
        <v>56650.000000000116</v>
      </c>
      <c r="H8" s="664">
        <f>464060*1.03</f>
        <v>477981.8</v>
      </c>
      <c r="I8" s="664">
        <f>M8</f>
        <v>127308</v>
      </c>
      <c r="J8" s="664">
        <f>401550*1.03</f>
        <v>413596.5</v>
      </c>
      <c r="K8" s="664">
        <f>K25*1.03</f>
        <v>91206.5</v>
      </c>
      <c r="L8" s="665">
        <f t="shared" si="1"/>
        <v>0.03</v>
      </c>
      <c r="M8" s="666">
        <f t="shared" si="2"/>
        <v>127308</v>
      </c>
    </row>
    <row r="9" spans="1:13" x14ac:dyDescent="0.25">
      <c r="A9">
        <f t="shared" si="3"/>
        <v>50</v>
      </c>
      <c r="B9" s="2">
        <v>200</v>
      </c>
      <c r="C9" s="7">
        <v>1600000</v>
      </c>
      <c r="D9" s="38" t="s">
        <v>249</v>
      </c>
      <c r="E9" s="664">
        <f t="shared" si="0"/>
        <v>1812800.0000000002</v>
      </c>
      <c r="F9" s="7">
        <f t="shared" si="4"/>
        <v>226600</v>
      </c>
      <c r="G9" s="7">
        <f t="shared" ref="G9:G13" si="5">F9-F7</f>
        <v>56650.000000000233</v>
      </c>
      <c r="H9" s="664">
        <f>(H10+H8)/2</f>
        <v>522601.4</v>
      </c>
      <c r="I9" s="664">
        <f>(I10+I8)/2</f>
        <v>137917</v>
      </c>
      <c r="J9" s="664"/>
      <c r="K9" s="667"/>
      <c r="L9" s="665">
        <f t="shared" si="1"/>
        <v>0.03</v>
      </c>
      <c r="M9" s="666">
        <f t="shared" si="2"/>
        <v>137917</v>
      </c>
    </row>
    <row r="10" spans="1:13" x14ac:dyDescent="0.25">
      <c r="A10">
        <f t="shared" si="3"/>
        <v>50</v>
      </c>
      <c r="B10" s="2">
        <v>350</v>
      </c>
      <c r="C10" s="7">
        <v>1950000</v>
      </c>
      <c r="D10" s="38" t="s">
        <v>250</v>
      </c>
      <c r="E10" s="664">
        <f t="shared" si="0"/>
        <v>2209350</v>
      </c>
      <c r="F10" s="173">
        <f t="shared" si="4"/>
        <v>396549.99999999977</v>
      </c>
      <c r="G10" s="173">
        <f t="shared" si="5"/>
        <v>56649.999999999534</v>
      </c>
      <c r="H10" s="664">
        <f>550700*1.03</f>
        <v>567221</v>
      </c>
      <c r="I10" s="664">
        <f>M10</f>
        <v>148526</v>
      </c>
      <c r="J10" s="668"/>
      <c r="K10" s="667"/>
      <c r="L10" s="665">
        <f t="shared" si="1"/>
        <v>0.03</v>
      </c>
      <c r="M10" s="666">
        <f t="shared" si="2"/>
        <v>148526</v>
      </c>
    </row>
    <row r="11" spans="1:13" x14ac:dyDescent="0.25">
      <c r="A11">
        <f t="shared" si="3"/>
        <v>50</v>
      </c>
      <c r="B11" s="2">
        <v>250</v>
      </c>
      <c r="C11" s="7">
        <v>2200000</v>
      </c>
      <c r="D11" s="38" t="s">
        <v>251</v>
      </c>
      <c r="E11" s="664">
        <f t="shared" si="0"/>
        <v>2492600</v>
      </c>
      <c r="F11" s="7">
        <f t="shared" si="4"/>
        <v>283250</v>
      </c>
      <c r="G11" s="7">
        <f t="shared" si="5"/>
        <v>56650</v>
      </c>
      <c r="H11" s="664">
        <f>(H12+H10)/2</f>
        <v>615208.69999999995</v>
      </c>
      <c r="I11" s="664">
        <f>(I12+I10)/2</f>
        <v>153830.5</v>
      </c>
      <c r="J11" s="668"/>
      <c r="K11" s="667"/>
      <c r="L11" s="665">
        <f t="shared" si="1"/>
        <v>0.03</v>
      </c>
      <c r="M11" s="666">
        <f t="shared" si="2"/>
        <v>153830.5</v>
      </c>
    </row>
    <row r="12" spans="1:13" x14ac:dyDescent="0.25">
      <c r="A12">
        <f t="shared" si="3"/>
        <v>50</v>
      </c>
      <c r="B12" s="2">
        <v>400</v>
      </c>
      <c r="C12" s="7">
        <v>2600000</v>
      </c>
      <c r="D12" s="38" t="s">
        <v>252</v>
      </c>
      <c r="E12" s="664">
        <f t="shared" si="0"/>
        <v>2945800</v>
      </c>
      <c r="F12" s="173">
        <f t="shared" si="4"/>
        <v>453200</v>
      </c>
      <c r="G12" s="173">
        <f t="shared" si="5"/>
        <v>56650.000000000233</v>
      </c>
      <c r="H12" s="664">
        <f>643880*1.03</f>
        <v>663196.4</v>
      </c>
      <c r="I12" s="664">
        <f>M12</f>
        <v>159135</v>
      </c>
      <c r="J12" s="668"/>
      <c r="K12" s="667"/>
      <c r="L12" s="665">
        <f t="shared" si="1"/>
        <v>0.03</v>
      </c>
      <c r="M12" s="666">
        <f t="shared" si="2"/>
        <v>159135</v>
      </c>
    </row>
    <row r="13" spans="1:13" x14ac:dyDescent="0.25">
      <c r="A13">
        <f t="shared" si="3"/>
        <v>50</v>
      </c>
      <c r="B13" s="2">
        <v>300</v>
      </c>
      <c r="C13" s="7">
        <v>2900000</v>
      </c>
      <c r="D13" s="38" t="s">
        <v>424</v>
      </c>
      <c r="E13" s="664">
        <f t="shared" si="0"/>
        <v>3285700.0000000005</v>
      </c>
      <c r="F13" s="7">
        <f t="shared" si="4"/>
        <v>339900.00000000047</v>
      </c>
      <c r="G13" s="7">
        <f t="shared" si="5"/>
        <v>56650.000000000466</v>
      </c>
      <c r="H13" s="61"/>
      <c r="I13" s="7"/>
      <c r="J13" s="7"/>
      <c r="K13" s="7"/>
      <c r="L13" s="2"/>
    </row>
    <row r="14" spans="1:13" x14ac:dyDescent="0.25">
      <c r="A14">
        <f t="shared" si="3"/>
        <v>50</v>
      </c>
      <c r="B14" s="2">
        <v>450</v>
      </c>
      <c r="C14" s="7">
        <v>3350000</v>
      </c>
      <c r="D14" s="38" t="s">
        <v>425</v>
      </c>
      <c r="E14" s="664">
        <f t="shared" si="0"/>
        <v>3795550.0000000005</v>
      </c>
      <c r="F14" s="173">
        <f>E14-E13</f>
        <v>509850</v>
      </c>
      <c r="G14" s="173">
        <f>F14-F12</f>
        <v>56650</v>
      </c>
      <c r="H14" s="61"/>
      <c r="I14" s="7"/>
      <c r="J14" s="7"/>
      <c r="K14" s="7"/>
      <c r="L14" s="2"/>
    </row>
    <row r="15" spans="1:13" ht="13" thickBot="1" x14ac:dyDescent="0.3">
      <c r="B15" s="573">
        <f>SUM(B4:B14)</f>
        <v>3350</v>
      </c>
      <c r="D15"/>
      <c r="I15" s="2"/>
      <c r="J15" s="2"/>
      <c r="K15" s="2"/>
      <c r="L15" s="2"/>
    </row>
    <row r="16" spans="1:13" x14ac:dyDescent="0.25">
      <c r="G16" s="2" t="s">
        <v>471</v>
      </c>
    </row>
    <row r="18" spans="7:11" x14ac:dyDescent="0.25">
      <c r="H18" t="s">
        <v>472</v>
      </c>
    </row>
    <row r="19" spans="7:11" ht="13" x14ac:dyDescent="0.3">
      <c r="H19" s="1045" t="s">
        <v>417</v>
      </c>
      <c r="I19" s="1045"/>
      <c r="J19" s="1045" t="s">
        <v>418</v>
      </c>
      <c r="K19" s="1045"/>
    </row>
    <row r="20" spans="7:11" x14ac:dyDescent="0.25">
      <c r="H20" s="2" t="s">
        <v>422</v>
      </c>
      <c r="I20" s="109" t="s">
        <v>423</v>
      </c>
      <c r="J20" s="2" t="s">
        <v>422</v>
      </c>
      <c r="K20" s="109" t="s">
        <v>423</v>
      </c>
    </row>
    <row r="21" spans="7:11" x14ac:dyDescent="0.25">
      <c r="G21" s="38" t="s">
        <v>244</v>
      </c>
      <c r="H21" s="7">
        <v>316450</v>
      </c>
      <c r="I21" s="7">
        <v>103000</v>
      </c>
      <c r="J21" s="7">
        <v>277282</v>
      </c>
      <c r="K21" s="7">
        <v>88550</v>
      </c>
    </row>
    <row r="22" spans="7:11" x14ac:dyDescent="0.25">
      <c r="G22" s="38" t="s">
        <v>245</v>
      </c>
      <c r="H22" s="7">
        <f>(H23+H21)/2</f>
        <v>352135</v>
      </c>
      <c r="I22" s="7">
        <f>(I23+I21)/2</f>
        <v>108150</v>
      </c>
      <c r="J22" s="7">
        <f>(J23+J21)/2</f>
        <v>321141</v>
      </c>
      <c r="K22" s="7">
        <v>88550</v>
      </c>
    </row>
    <row r="23" spans="7:11" x14ac:dyDescent="0.25">
      <c r="G23" s="38" t="s">
        <v>246</v>
      </c>
      <c r="H23" s="7">
        <v>387820</v>
      </c>
      <c r="I23" s="7">
        <v>113300</v>
      </c>
      <c r="J23" s="7">
        <v>365000</v>
      </c>
      <c r="K23" s="7">
        <v>88550</v>
      </c>
    </row>
    <row r="24" spans="7:11" x14ac:dyDescent="0.25">
      <c r="G24" s="38" t="s">
        <v>247</v>
      </c>
      <c r="H24" s="7">
        <f>(H25+H23)/2</f>
        <v>425940</v>
      </c>
      <c r="I24" s="7">
        <f>(I25+I23)/2</f>
        <v>118450</v>
      </c>
      <c r="J24" s="7">
        <f>(J25+J23)/2</f>
        <v>383275</v>
      </c>
      <c r="K24" s="7">
        <v>88550</v>
      </c>
    </row>
    <row r="25" spans="7:11" x14ac:dyDescent="0.25">
      <c r="G25" s="38" t="s">
        <v>248</v>
      </c>
      <c r="H25" s="7">
        <v>464060</v>
      </c>
      <c r="I25" s="7">
        <v>123600</v>
      </c>
      <c r="J25" s="7">
        <v>401550</v>
      </c>
      <c r="K25" s="7">
        <v>88550</v>
      </c>
    </row>
    <row r="26" spans="7:11" x14ac:dyDescent="0.25">
      <c r="G26" s="38" t="s">
        <v>249</v>
      </c>
      <c r="H26" s="7">
        <f>(H27+H25)/2</f>
        <v>507380</v>
      </c>
      <c r="I26" s="7">
        <f>(I27+I25)/2</f>
        <v>133900</v>
      </c>
      <c r="J26" s="7"/>
    </row>
    <row r="27" spans="7:11" x14ac:dyDescent="0.25">
      <c r="G27" s="38" t="s">
        <v>250</v>
      </c>
      <c r="H27" s="7">
        <v>550700</v>
      </c>
      <c r="I27" s="7">
        <v>144200</v>
      </c>
      <c r="J27" s="61"/>
    </row>
    <row r="28" spans="7:11" x14ac:dyDescent="0.25">
      <c r="G28" s="38" t="s">
        <v>251</v>
      </c>
      <c r="H28" s="7">
        <f>(H29+H27)/2</f>
        <v>597290</v>
      </c>
      <c r="I28" s="7">
        <f>(I29+I27)/2</f>
        <v>149350</v>
      </c>
      <c r="J28" s="61"/>
    </row>
    <row r="29" spans="7:11" x14ac:dyDescent="0.25">
      <c r="G29" s="38" t="s">
        <v>252</v>
      </c>
      <c r="H29" s="7">
        <v>643880</v>
      </c>
      <c r="I29" s="7">
        <v>154500</v>
      </c>
      <c r="J29" s="61"/>
    </row>
    <row r="30" spans="7:11" x14ac:dyDescent="0.25">
      <c r="G30" s="38" t="s">
        <v>424</v>
      </c>
    </row>
    <row r="31" spans="7:11" x14ac:dyDescent="0.25">
      <c r="G31" s="38" t="s">
        <v>425</v>
      </c>
    </row>
    <row r="33" spans="8:11" x14ac:dyDescent="0.25">
      <c r="H33" s="109" t="s">
        <v>473</v>
      </c>
      <c r="I33" s="109" t="s">
        <v>474</v>
      </c>
      <c r="K33" s="109" t="s">
        <v>474</v>
      </c>
    </row>
    <row r="35" spans="8:11" x14ac:dyDescent="0.25">
      <c r="J35" s="101" t="s">
        <v>475</v>
      </c>
      <c r="K35" s="7">
        <v>143800</v>
      </c>
    </row>
    <row r="36" spans="8:11" x14ac:dyDescent="0.25">
      <c r="J36" s="101" t="s">
        <v>476</v>
      </c>
      <c r="K36" s="7">
        <v>30900</v>
      </c>
    </row>
    <row r="37" spans="8:11" ht="13" thickBot="1" x14ac:dyDescent="0.3">
      <c r="K37" s="390">
        <f>SUM(K35:K36)</f>
        <v>174700</v>
      </c>
    </row>
  </sheetData>
  <mergeCells count="6">
    <mergeCell ref="J19:K19"/>
    <mergeCell ref="H19:I19"/>
    <mergeCell ref="B3:C3"/>
    <mergeCell ref="E3:F3"/>
    <mergeCell ref="H2:I2"/>
    <mergeCell ref="J2:K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DB5A-2E92-4A25-A4CE-F7C6E555E9F3}">
  <sheetPr>
    <tabColor rgb="FFFFFF00"/>
  </sheetPr>
  <dimension ref="A1:T103"/>
  <sheetViews>
    <sheetView topLeftCell="A19" workbookViewId="0">
      <selection activeCell="D46" sqref="D46"/>
    </sheetView>
  </sheetViews>
  <sheetFormatPr defaultRowHeight="12.5" x14ac:dyDescent="0.25"/>
  <cols>
    <col min="1" max="1" width="14" customWidth="1"/>
    <col min="2" max="2" width="27.453125" bestFit="1" customWidth="1"/>
    <col min="3" max="3" width="28.7265625" customWidth="1"/>
    <col min="4" max="4" width="10.1796875" bestFit="1" customWidth="1"/>
    <col min="5" max="5" width="10.1796875" customWidth="1"/>
    <col min="8" max="8" width="11.7265625" customWidth="1"/>
    <col min="9" max="9" width="10.26953125" bestFit="1" customWidth="1"/>
    <col min="10" max="10" width="18.26953125" bestFit="1" customWidth="1"/>
    <col min="12" max="12" width="10.26953125" bestFit="1" customWidth="1"/>
    <col min="13" max="13" width="10.453125" customWidth="1"/>
    <col min="14" max="14" width="10.26953125" bestFit="1" customWidth="1"/>
    <col min="17" max="17" width="11.7265625" customWidth="1"/>
    <col min="18" max="18" width="23.453125" customWidth="1"/>
    <col min="19" max="19" width="11.26953125" customWidth="1"/>
  </cols>
  <sheetData>
    <row r="1" spans="1:19" ht="13" thickBot="1" x14ac:dyDescent="0.3"/>
    <row r="2" spans="1:19" x14ac:dyDescent="0.25">
      <c r="A2" s="134" t="s">
        <v>491</v>
      </c>
      <c r="B2" s="135"/>
      <c r="C2" s="136" t="s">
        <v>484</v>
      </c>
    </row>
    <row r="3" spans="1:19" ht="13" x14ac:dyDescent="0.3">
      <c r="A3" s="137" t="s">
        <v>492</v>
      </c>
      <c r="B3" s="7"/>
      <c r="C3" s="138"/>
      <c r="Q3" s="78"/>
      <c r="R3" s="21"/>
      <c r="S3" s="7"/>
    </row>
    <row r="4" spans="1:19" x14ac:dyDescent="0.25">
      <c r="A4" s="137" t="s">
        <v>493</v>
      </c>
      <c r="B4" s="7"/>
      <c r="C4" s="139" t="s">
        <v>15</v>
      </c>
      <c r="P4" s="7"/>
      <c r="Q4" s="78"/>
      <c r="R4" s="15"/>
      <c r="S4" s="7"/>
    </row>
    <row r="5" spans="1:19" ht="13" x14ac:dyDescent="0.3">
      <c r="A5" s="137" t="s">
        <v>494</v>
      </c>
      <c r="B5" s="7"/>
      <c r="C5" s="138"/>
      <c r="P5" s="7"/>
      <c r="Q5" s="78"/>
      <c r="R5" s="21"/>
      <c r="S5" s="7"/>
    </row>
    <row r="6" spans="1:19" x14ac:dyDescent="0.25">
      <c r="A6" s="137" t="s">
        <v>495</v>
      </c>
      <c r="B6" s="140"/>
      <c r="C6" s="139" t="s">
        <v>16</v>
      </c>
      <c r="P6" s="7"/>
      <c r="Q6" s="78"/>
      <c r="R6" s="15"/>
      <c r="S6" s="7"/>
    </row>
    <row r="7" spans="1:19" x14ac:dyDescent="0.25">
      <c r="A7" s="137" t="s">
        <v>496</v>
      </c>
      <c r="B7" s="141"/>
      <c r="C7" s="138"/>
      <c r="P7" s="7"/>
      <c r="Q7" s="78"/>
      <c r="R7" s="15"/>
      <c r="S7" s="7"/>
    </row>
    <row r="8" spans="1:19" ht="13" x14ac:dyDescent="0.3">
      <c r="A8" s="137" t="s">
        <v>497</v>
      </c>
      <c r="B8" s="142"/>
      <c r="C8" s="139" t="s">
        <v>17</v>
      </c>
      <c r="F8" s="101" t="s">
        <v>498</v>
      </c>
      <c r="P8" s="7"/>
      <c r="Q8" s="78"/>
      <c r="R8" s="21"/>
      <c r="S8" s="7"/>
    </row>
    <row r="9" spans="1:19" ht="13" x14ac:dyDescent="0.3">
      <c r="A9" s="137" t="s">
        <v>499</v>
      </c>
      <c r="B9" s="7"/>
      <c r="C9" s="138"/>
      <c r="P9" s="7"/>
      <c r="Q9" s="78"/>
      <c r="R9" s="21"/>
      <c r="S9" s="7"/>
    </row>
    <row r="10" spans="1:19" x14ac:dyDescent="0.25">
      <c r="A10" s="137" t="s">
        <v>500</v>
      </c>
      <c r="B10" s="143"/>
      <c r="C10" s="139" t="s">
        <v>18</v>
      </c>
      <c r="P10" s="7"/>
      <c r="Q10" s="78"/>
      <c r="R10" s="15"/>
      <c r="S10" s="7"/>
    </row>
    <row r="11" spans="1:19" x14ac:dyDescent="0.25">
      <c r="A11" s="137" t="s">
        <v>501</v>
      </c>
      <c r="B11" s="7"/>
      <c r="C11" s="138"/>
      <c r="P11" s="7"/>
      <c r="Q11" s="78"/>
      <c r="R11" s="15"/>
      <c r="S11" s="7"/>
    </row>
    <row r="12" spans="1:19" ht="13" thickBot="1" x14ac:dyDescent="0.3">
      <c r="A12" s="756" t="s">
        <v>502</v>
      </c>
      <c r="B12" s="144"/>
      <c r="C12" s="139" t="s">
        <v>485</v>
      </c>
      <c r="P12" s="7"/>
      <c r="Q12" s="78"/>
      <c r="R12" s="15"/>
      <c r="S12" s="7"/>
    </row>
    <row r="13" spans="1:19" ht="13" thickBot="1" x14ac:dyDescent="0.3">
      <c r="A13" s="756" t="s">
        <v>503</v>
      </c>
      <c r="B13" s="757"/>
      <c r="C13" s="758"/>
      <c r="Q13" s="78"/>
      <c r="R13" s="15"/>
      <c r="S13" s="7"/>
    </row>
    <row r="14" spans="1:19" x14ac:dyDescent="0.25">
      <c r="Q14" s="78"/>
      <c r="R14" s="15"/>
      <c r="S14" s="7"/>
    </row>
    <row r="15" spans="1:19" x14ac:dyDescent="0.25">
      <c r="Q15" s="78"/>
      <c r="R15" s="15"/>
      <c r="S15" s="7"/>
    </row>
    <row r="16" spans="1:19" x14ac:dyDescent="0.25">
      <c r="Q16" s="78"/>
      <c r="R16" s="15"/>
      <c r="S16" s="7"/>
    </row>
    <row r="17" spans="1:19" x14ac:dyDescent="0.25">
      <c r="A17" s="68">
        <v>9257029</v>
      </c>
      <c r="B17" s="74" t="s">
        <v>85</v>
      </c>
      <c r="C17" s="2">
        <v>3</v>
      </c>
      <c r="D17" s="7"/>
      <c r="E17" s="7"/>
      <c r="F17" s="7"/>
      <c r="G17" s="7"/>
      <c r="H17" s="7"/>
      <c r="Q17" s="78"/>
      <c r="R17" s="15"/>
      <c r="S17" s="7"/>
    </row>
    <row r="18" spans="1:19" x14ac:dyDescent="0.25">
      <c r="A18" s="68">
        <v>9257011</v>
      </c>
      <c r="B18" s="74" t="s">
        <v>65</v>
      </c>
      <c r="C18" s="2">
        <v>4</v>
      </c>
      <c r="D18" s="7"/>
      <c r="E18" s="7"/>
      <c r="F18" s="7"/>
      <c r="G18" s="7"/>
      <c r="H18" s="7"/>
      <c r="Q18" s="78"/>
      <c r="R18" s="15"/>
      <c r="S18" s="7"/>
    </row>
    <row r="19" spans="1:19" x14ac:dyDescent="0.25">
      <c r="A19" s="68">
        <v>9257010</v>
      </c>
      <c r="B19" s="74" t="s">
        <v>60</v>
      </c>
      <c r="C19" s="2">
        <v>4</v>
      </c>
      <c r="D19" s="7"/>
      <c r="E19" s="7"/>
      <c r="F19" s="7"/>
      <c r="G19" s="7"/>
      <c r="H19" s="7"/>
      <c r="Q19" s="78"/>
      <c r="R19" s="15"/>
      <c r="S19" s="7"/>
    </row>
    <row r="20" spans="1:19" x14ac:dyDescent="0.25">
      <c r="A20" s="68">
        <v>9257033</v>
      </c>
      <c r="B20" s="74" t="s">
        <v>74</v>
      </c>
      <c r="C20" s="2">
        <v>3</v>
      </c>
      <c r="D20" s="7"/>
      <c r="E20" s="152" t="s">
        <v>504</v>
      </c>
      <c r="F20" s="7"/>
      <c r="G20" s="7"/>
      <c r="H20" s="7"/>
      <c r="Q20" s="78"/>
      <c r="R20" s="15"/>
      <c r="S20" s="7"/>
    </row>
    <row r="21" spans="1:19" x14ac:dyDescent="0.25">
      <c r="A21" s="68">
        <v>9257025</v>
      </c>
      <c r="B21" s="74" t="s">
        <v>64</v>
      </c>
      <c r="C21" s="2">
        <v>4</v>
      </c>
      <c r="D21" s="7"/>
      <c r="E21" s="7"/>
      <c r="F21" s="7"/>
      <c r="G21" s="7"/>
      <c r="H21" s="7"/>
    </row>
    <row r="22" spans="1:19" x14ac:dyDescent="0.25">
      <c r="A22" s="68">
        <v>9257032</v>
      </c>
      <c r="B22" s="74" t="s">
        <v>86</v>
      </c>
      <c r="C22" s="2">
        <v>4</v>
      </c>
      <c r="D22" s="7"/>
      <c r="E22" s="7"/>
      <c r="F22" s="7"/>
      <c r="G22" s="7"/>
      <c r="H22" s="7"/>
    </row>
    <row r="23" spans="1:19" x14ac:dyDescent="0.25">
      <c r="A23" s="68">
        <v>9257024</v>
      </c>
      <c r="B23" s="74" t="s">
        <v>66</v>
      </c>
      <c r="C23" s="2">
        <v>3</v>
      </c>
      <c r="D23" s="7"/>
      <c r="E23" s="7"/>
      <c r="F23" s="7"/>
      <c r="G23" s="7"/>
      <c r="H23" s="7"/>
      <c r="Q23" s="78"/>
      <c r="R23" s="15"/>
      <c r="S23" s="7"/>
    </row>
    <row r="24" spans="1:19" x14ac:dyDescent="0.25">
      <c r="A24" s="68">
        <v>9257030</v>
      </c>
      <c r="B24" s="74" t="s">
        <v>87</v>
      </c>
      <c r="C24" s="2">
        <v>4</v>
      </c>
      <c r="D24" s="7"/>
      <c r="E24" s="7"/>
      <c r="F24" s="7"/>
      <c r="G24" s="7"/>
      <c r="H24" s="7"/>
      <c r="Q24" s="78"/>
      <c r="R24" s="15"/>
      <c r="S24" s="7"/>
    </row>
    <row r="25" spans="1:19" x14ac:dyDescent="0.25">
      <c r="A25" s="68">
        <v>9257008</v>
      </c>
      <c r="B25" s="74" t="s">
        <v>67</v>
      </c>
      <c r="C25" s="2">
        <v>4</v>
      </c>
      <c r="D25" s="7"/>
      <c r="E25" s="7"/>
      <c r="F25" s="7"/>
      <c r="G25" s="7"/>
      <c r="H25" s="7"/>
      <c r="Q25" s="78"/>
      <c r="R25" s="15"/>
      <c r="S25" s="7"/>
    </row>
    <row r="26" spans="1:19" x14ac:dyDescent="0.25">
      <c r="A26" s="68">
        <v>9257031</v>
      </c>
      <c r="B26" s="74" t="s">
        <v>84</v>
      </c>
      <c r="C26" s="2">
        <v>4</v>
      </c>
      <c r="D26" s="7"/>
      <c r="E26" s="7"/>
      <c r="F26" s="7"/>
      <c r="G26" s="7"/>
      <c r="H26" s="7"/>
      <c r="Q26" s="78"/>
      <c r="R26" s="15"/>
      <c r="S26" s="7"/>
    </row>
    <row r="27" spans="1:19" x14ac:dyDescent="0.25">
      <c r="A27" s="68">
        <v>9257005</v>
      </c>
      <c r="B27" s="74" t="s">
        <v>63</v>
      </c>
      <c r="C27" s="2">
        <v>4</v>
      </c>
      <c r="D27" s="7"/>
      <c r="E27" s="7"/>
      <c r="F27" s="7"/>
      <c r="G27" s="7"/>
      <c r="H27" s="7"/>
      <c r="Q27" s="78"/>
      <c r="R27" s="15"/>
      <c r="S27" s="7"/>
    </row>
    <row r="28" spans="1:19" x14ac:dyDescent="0.25">
      <c r="A28" s="68">
        <v>9257009</v>
      </c>
      <c r="B28" s="74" t="s">
        <v>69</v>
      </c>
      <c r="C28" s="2">
        <v>4</v>
      </c>
      <c r="D28" s="7"/>
      <c r="E28" s="7"/>
      <c r="F28" s="7"/>
      <c r="G28" s="7"/>
      <c r="H28" s="7"/>
      <c r="Q28" s="78"/>
      <c r="R28" s="15"/>
      <c r="S28" s="7"/>
    </row>
    <row r="29" spans="1:19" x14ac:dyDescent="0.25">
      <c r="A29" s="68">
        <v>9257028</v>
      </c>
      <c r="B29" s="74" t="s">
        <v>70</v>
      </c>
      <c r="C29" s="2">
        <v>5</v>
      </c>
      <c r="D29" s="7"/>
      <c r="E29" s="7"/>
      <c r="F29" s="7"/>
      <c r="G29" s="7"/>
      <c r="H29" s="7"/>
      <c r="Q29" s="78"/>
      <c r="R29" s="15"/>
      <c r="S29" s="7"/>
    </row>
    <row r="30" spans="1:19" x14ac:dyDescent="0.25">
      <c r="A30" s="68">
        <v>9257034</v>
      </c>
      <c r="B30" s="74" t="s">
        <v>75</v>
      </c>
      <c r="C30" s="2">
        <v>5</v>
      </c>
      <c r="D30" s="7"/>
      <c r="E30" s="7"/>
      <c r="F30" s="7"/>
      <c r="G30" s="7"/>
      <c r="H30" s="7"/>
      <c r="Q30" s="78"/>
      <c r="R30" s="15"/>
      <c r="S30" s="7"/>
    </row>
    <row r="31" spans="1:19" x14ac:dyDescent="0.25">
      <c r="A31" s="68">
        <v>9257002</v>
      </c>
      <c r="B31" s="74" t="s">
        <v>68</v>
      </c>
      <c r="C31" s="2">
        <v>5</v>
      </c>
      <c r="D31" s="7"/>
      <c r="E31" s="7"/>
      <c r="F31" s="7"/>
      <c r="G31" s="7"/>
      <c r="H31" s="7"/>
      <c r="Q31" s="78"/>
      <c r="R31" s="15"/>
      <c r="S31" s="7"/>
    </row>
    <row r="32" spans="1:19" x14ac:dyDescent="0.25">
      <c r="A32" s="68">
        <v>9257021</v>
      </c>
      <c r="B32" s="74" t="s">
        <v>71</v>
      </c>
      <c r="C32" s="2">
        <v>5</v>
      </c>
      <c r="D32" s="7"/>
      <c r="E32" s="7"/>
      <c r="F32" s="7"/>
      <c r="G32" s="7"/>
      <c r="H32" s="7"/>
      <c r="Q32" s="78"/>
      <c r="R32" s="15"/>
      <c r="S32" s="7"/>
    </row>
    <row r="33" spans="1:19" x14ac:dyDescent="0.25">
      <c r="A33" s="68">
        <v>9257016</v>
      </c>
      <c r="B33" s="74" t="s">
        <v>73</v>
      </c>
      <c r="C33" s="2">
        <v>6</v>
      </c>
      <c r="D33" s="7"/>
      <c r="E33" s="7"/>
      <c r="F33" s="7"/>
      <c r="G33" s="7"/>
      <c r="H33" s="7"/>
      <c r="Q33" s="78"/>
      <c r="R33" s="15"/>
      <c r="S33" s="7"/>
    </row>
    <row r="34" spans="1:19" x14ac:dyDescent="0.25">
      <c r="A34" s="68">
        <v>9257015</v>
      </c>
      <c r="B34" s="74" t="s">
        <v>72</v>
      </c>
      <c r="C34" s="2">
        <v>6</v>
      </c>
      <c r="D34" s="7"/>
      <c r="E34" s="7"/>
      <c r="F34" s="7"/>
      <c r="G34" s="7"/>
      <c r="H34" s="7"/>
      <c r="Q34" s="78"/>
      <c r="R34" s="15"/>
      <c r="S34" s="7"/>
    </row>
    <row r="35" spans="1:19" x14ac:dyDescent="0.25">
      <c r="Q35" s="78"/>
      <c r="R35" s="15"/>
      <c r="S35" s="7"/>
    </row>
    <row r="36" spans="1:19" ht="13" x14ac:dyDescent="0.3">
      <c r="Q36" s="78"/>
      <c r="R36" s="21"/>
      <c r="S36" s="7"/>
    </row>
    <row r="37" spans="1:19" ht="13" x14ac:dyDescent="0.3">
      <c r="Q37" s="78"/>
      <c r="R37" s="21"/>
      <c r="S37" s="7"/>
    </row>
    <row r="38" spans="1:19" ht="13" x14ac:dyDescent="0.3">
      <c r="A38" s="101" t="s">
        <v>505</v>
      </c>
      <c r="B38" s="101" t="s">
        <v>272</v>
      </c>
      <c r="Q38" s="78"/>
      <c r="R38" s="21"/>
      <c r="S38" s="7"/>
    </row>
    <row r="39" spans="1:19" ht="13" x14ac:dyDescent="0.3">
      <c r="A39" s="101" t="s">
        <v>506</v>
      </c>
      <c r="B39" s="101" t="s">
        <v>272</v>
      </c>
      <c r="Q39" s="78"/>
      <c r="R39" s="21"/>
      <c r="S39" s="7"/>
    </row>
    <row r="40" spans="1:19" ht="13" x14ac:dyDescent="0.3">
      <c r="Q40" s="78"/>
      <c r="R40" s="21"/>
      <c r="S40" s="7"/>
    </row>
    <row r="41" spans="1:19" x14ac:dyDescent="0.25">
      <c r="B41" s="1" t="s">
        <v>507</v>
      </c>
      <c r="Q41" s="78"/>
      <c r="R41" s="15"/>
      <c r="S41" s="7"/>
    </row>
    <row r="42" spans="1:19" x14ac:dyDescent="0.25">
      <c r="Q42" s="78"/>
      <c r="R42" s="15"/>
    </row>
    <row r="43" spans="1:19" x14ac:dyDescent="0.25">
      <c r="C43" s="2"/>
      <c r="D43" s="109" t="s">
        <v>508</v>
      </c>
      <c r="E43" s="109" t="s">
        <v>509</v>
      </c>
      <c r="J43" s="560" t="s">
        <v>528</v>
      </c>
    </row>
    <row r="44" spans="1:19" x14ac:dyDescent="0.25">
      <c r="C44" s="2"/>
      <c r="D44" s="109"/>
      <c r="E44" s="109"/>
    </row>
    <row r="45" spans="1:19" x14ac:dyDescent="0.25">
      <c r="B45" s="146" t="s">
        <v>510</v>
      </c>
      <c r="C45" s="2"/>
      <c r="D45" s="109" t="s">
        <v>508</v>
      </c>
      <c r="E45" s="109" t="s">
        <v>511</v>
      </c>
      <c r="F45" s="109" t="s">
        <v>141</v>
      </c>
      <c r="H45" s="109" t="s">
        <v>1</v>
      </c>
      <c r="I45" s="2"/>
      <c r="J45" s="2"/>
      <c r="K45" s="2"/>
      <c r="L45" s="109" t="s">
        <v>512</v>
      </c>
      <c r="M45" s="101" t="s">
        <v>513</v>
      </c>
    </row>
    <row r="46" spans="1:19" x14ac:dyDescent="0.25">
      <c r="A46">
        <v>600</v>
      </c>
      <c r="B46" s="61">
        <v>600000</v>
      </c>
      <c r="C46" s="38" t="s">
        <v>244</v>
      </c>
      <c r="D46" s="144">
        <v>310000</v>
      </c>
      <c r="E46" s="7">
        <f>100000*1.02</f>
        <v>102000</v>
      </c>
      <c r="F46" s="7">
        <f>SUM(D46:E46)</f>
        <v>412000</v>
      </c>
      <c r="H46" s="2"/>
      <c r="I46" s="2"/>
      <c r="J46" s="143">
        <f>B46+(B46*2%)</f>
        <v>612000</v>
      </c>
      <c r="K46" s="2"/>
      <c r="L46" s="7">
        <v>600000</v>
      </c>
      <c r="M46" s="61">
        <v>600000</v>
      </c>
      <c r="Q46" s="1" t="s">
        <v>274</v>
      </c>
    </row>
    <row r="47" spans="1:19" ht="13" x14ac:dyDescent="0.3">
      <c r="A47">
        <v>100</v>
      </c>
      <c r="B47" s="61">
        <v>700000</v>
      </c>
      <c r="C47" s="38" t="s">
        <v>245</v>
      </c>
      <c r="D47" s="108">
        <f>((D48-D46)/2)+D46</f>
        <v>345000</v>
      </c>
      <c r="E47" s="108">
        <f>((E48-E46)/2)+E46</f>
        <v>107100</v>
      </c>
      <c r="F47" s="7">
        <f>SUM(D47:E47)</f>
        <v>452100</v>
      </c>
      <c r="G47" s="24"/>
      <c r="H47" s="7">
        <f>F47-F46</f>
        <v>40100</v>
      </c>
      <c r="I47" s="2"/>
      <c r="J47" s="143">
        <f>B47+(B47*2%)</f>
        <v>714000</v>
      </c>
      <c r="K47" s="2"/>
      <c r="L47" s="7">
        <v>700000</v>
      </c>
      <c r="M47" s="61">
        <v>700000</v>
      </c>
      <c r="N47" s="61">
        <f>M47-M46</f>
        <v>100000</v>
      </c>
      <c r="Q47" s="2"/>
    </row>
    <row r="48" spans="1:19" x14ac:dyDescent="0.25">
      <c r="A48">
        <v>250</v>
      </c>
      <c r="B48" s="61">
        <v>950000</v>
      </c>
      <c r="C48" s="38" t="s">
        <v>246</v>
      </c>
      <c r="D48" s="144">
        <v>380000</v>
      </c>
      <c r="E48" s="7">
        <f>110000*1.02</f>
        <v>112200</v>
      </c>
      <c r="F48" s="7">
        <f t="shared" ref="F48:F56" si="0">SUM(D48:E48)</f>
        <v>492200</v>
      </c>
      <c r="H48" s="7">
        <f t="shared" ref="H48:H56" si="1">F48-F47</f>
        <v>40100</v>
      </c>
      <c r="I48" s="2"/>
      <c r="J48" s="143">
        <f t="shared" ref="J48:J56" si="2">B48+(B48*2%)</f>
        <v>969000</v>
      </c>
      <c r="K48" s="2"/>
      <c r="L48" s="7">
        <v>950000</v>
      </c>
      <c r="M48" s="61">
        <v>950000</v>
      </c>
      <c r="N48" s="61">
        <f t="shared" ref="N48:N56" si="3">M48-M47</f>
        <v>250000</v>
      </c>
      <c r="Q48" s="7" t="e">
        <f>60*#REF!</f>
        <v>#REF!</v>
      </c>
      <c r="R48" s="101" t="s">
        <v>514</v>
      </c>
    </row>
    <row r="49" spans="1:19" x14ac:dyDescent="0.25">
      <c r="A49">
        <v>150</v>
      </c>
      <c r="B49" s="61">
        <v>1100000</v>
      </c>
      <c r="C49" s="38" t="s">
        <v>247</v>
      </c>
      <c r="D49" s="108">
        <f>((D50-D48)/2)+D48</f>
        <v>417500</v>
      </c>
      <c r="E49" s="108">
        <f>((E50-E48)/2)+E48</f>
        <v>118600</v>
      </c>
      <c r="F49" s="7">
        <f t="shared" si="0"/>
        <v>536100</v>
      </c>
      <c r="H49" s="7">
        <f t="shared" si="1"/>
        <v>43900</v>
      </c>
      <c r="I49" s="2"/>
      <c r="J49" s="143">
        <f t="shared" si="2"/>
        <v>1122000</v>
      </c>
      <c r="K49" s="2"/>
      <c r="L49" s="7">
        <v>1050000</v>
      </c>
      <c r="M49" s="61">
        <v>1050000</v>
      </c>
      <c r="N49" s="61">
        <f t="shared" si="3"/>
        <v>100000</v>
      </c>
      <c r="Q49" s="7">
        <f>F47</f>
        <v>452100</v>
      </c>
      <c r="R49" s="101" t="s">
        <v>515</v>
      </c>
    </row>
    <row r="50" spans="1:19" x14ac:dyDescent="0.25">
      <c r="A50">
        <v>300</v>
      </c>
      <c r="B50" s="61">
        <v>1400000</v>
      </c>
      <c r="C50" s="38" t="s">
        <v>248</v>
      </c>
      <c r="D50" s="144">
        <v>455000</v>
      </c>
      <c r="E50" s="7">
        <v>125000</v>
      </c>
      <c r="F50" s="7">
        <f t="shared" si="0"/>
        <v>580000</v>
      </c>
      <c r="H50" s="7">
        <f t="shared" si="1"/>
        <v>43900</v>
      </c>
      <c r="I50" s="2"/>
      <c r="J50" s="143">
        <f t="shared" si="2"/>
        <v>1428000</v>
      </c>
      <c r="K50" s="2"/>
      <c r="L50" s="7">
        <v>1300000</v>
      </c>
      <c r="M50" s="61">
        <v>1350000</v>
      </c>
      <c r="N50" s="61">
        <f t="shared" si="3"/>
        <v>300000</v>
      </c>
      <c r="Q50" s="149" t="e">
        <f>SUM(Q48:Q49)</f>
        <v>#REF!</v>
      </c>
      <c r="R50" s="101" t="s">
        <v>516</v>
      </c>
    </row>
    <row r="51" spans="1:19" x14ac:dyDescent="0.25">
      <c r="A51">
        <v>200</v>
      </c>
      <c r="B51" s="61">
        <v>1600000</v>
      </c>
      <c r="C51" s="38" t="s">
        <v>249</v>
      </c>
      <c r="D51" s="108">
        <f>((D52-D50)/2)+D50</f>
        <v>497500</v>
      </c>
      <c r="E51" s="108">
        <f>((E52-E50)/2)+E50</f>
        <v>135000</v>
      </c>
      <c r="F51" s="7">
        <f t="shared" si="0"/>
        <v>632500</v>
      </c>
      <c r="H51" s="7">
        <f t="shared" si="1"/>
        <v>52500</v>
      </c>
      <c r="I51" s="2"/>
      <c r="J51" s="143">
        <f t="shared" si="2"/>
        <v>1632000</v>
      </c>
      <c r="K51" s="2"/>
      <c r="L51" s="7">
        <v>1400000</v>
      </c>
      <c r="M51" s="61">
        <v>1450000</v>
      </c>
      <c r="N51" s="61">
        <f t="shared" si="3"/>
        <v>100000</v>
      </c>
      <c r="Q51" s="7" t="e">
        <f>Q50*4</f>
        <v>#REF!</v>
      </c>
      <c r="R51" s="101" t="s">
        <v>517</v>
      </c>
    </row>
    <row r="52" spans="1:19" x14ac:dyDescent="0.25">
      <c r="A52">
        <v>350</v>
      </c>
      <c r="B52" s="61">
        <v>1950000</v>
      </c>
      <c r="C52" s="38" t="s">
        <v>250</v>
      </c>
      <c r="D52" s="144">
        <v>540000</v>
      </c>
      <c r="E52" s="7">
        <v>145000</v>
      </c>
      <c r="F52" s="7">
        <f t="shared" si="0"/>
        <v>685000</v>
      </c>
      <c r="H52" s="7">
        <f t="shared" si="1"/>
        <v>52500</v>
      </c>
      <c r="I52" s="2"/>
      <c r="J52" s="143">
        <f t="shared" si="2"/>
        <v>1989000</v>
      </c>
      <c r="K52" s="2"/>
      <c r="L52" s="7">
        <v>1650000</v>
      </c>
      <c r="M52" s="61">
        <v>1800000</v>
      </c>
      <c r="N52" s="61">
        <f t="shared" si="3"/>
        <v>350000</v>
      </c>
      <c r="Q52" s="7"/>
    </row>
    <row r="53" spans="1:19" x14ac:dyDescent="0.25">
      <c r="A53">
        <v>250</v>
      </c>
      <c r="B53" s="61">
        <v>2200000</v>
      </c>
      <c r="C53" s="38" t="s">
        <v>251</v>
      </c>
      <c r="D53" s="108">
        <f>((D54-D52)/2)+D52</f>
        <v>582500</v>
      </c>
      <c r="E53" s="108">
        <f>((E54-E52)/2)+E52</f>
        <v>150000</v>
      </c>
      <c r="F53" s="7">
        <f t="shared" si="0"/>
        <v>732500</v>
      </c>
      <c r="H53" s="7">
        <f t="shared" si="1"/>
        <v>47500</v>
      </c>
      <c r="I53" s="2"/>
      <c r="J53" s="143">
        <f t="shared" si="2"/>
        <v>2244000</v>
      </c>
      <c r="K53" s="2"/>
      <c r="L53" s="7">
        <v>1750000</v>
      </c>
      <c r="M53" s="61">
        <v>1900000</v>
      </c>
      <c r="N53" s="61">
        <f t="shared" si="3"/>
        <v>100000</v>
      </c>
      <c r="Q53" s="7">
        <f>20500*252</f>
        <v>5166000</v>
      </c>
      <c r="R53" s="101" t="s">
        <v>518</v>
      </c>
    </row>
    <row r="54" spans="1:19" x14ac:dyDescent="0.25">
      <c r="A54">
        <v>400</v>
      </c>
      <c r="B54" s="61">
        <v>2600000</v>
      </c>
      <c r="C54" s="38" t="s">
        <v>252</v>
      </c>
      <c r="D54" s="144">
        <v>625000</v>
      </c>
      <c r="E54" s="7">
        <v>155000</v>
      </c>
      <c r="F54" s="7">
        <f t="shared" si="0"/>
        <v>780000</v>
      </c>
      <c r="H54" s="7">
        <f t="shared" si="1"/>
        <v>47500</v>
      </c>
      <c r="I54" s="2"/>
      <c r="J54" s="143">
        <f t="shared" si="2"/>
        <v>2652000</v>
      </c>
      <c r="K54" s="2"/>
      <c r="L54" s="7">
        <v>2000000</v>
      </c>
      <c r="M54" s="61">
        <v>2300000</v>
      </c>
      <c r="N54" s="61">
        <f t="shared" si="3"/>
        <v>400000</v>
      </c>
      <c r="Q54" s="7"/>
    </row>
    <row r="55" spans="1:19" x14ac:dyDescent="0.25">
      <c r="A55">
        <v>300</v>
      </c>
      <c r="B55" s="61">
        <v>2900000</v>
      </c>
      <c r="C55" s="38" t="s">
        <v>424</v>
      </c>
      <c r="D55" s="381">
        <f>((D56-D54)/2)+D54</f>
        <v>662500</v>
      </c>
      <c r="E55" s="108">
        <f>((E56-E54)/2)+E54</f>
        <v>162500</v>
      </c>
      <c r="F55" s="7">
        <f t="shared" si="0"/>
        <v>825000</v>
      </c>
      <c r="H55" s="7">
        <f t="shared" si="1"/>
        <v>45000</v>
      </c>
      <c r="I55" s="2"/>
      <c r="J55" s="143">
        <f t="shared" si="2"/>
        <v>2958000</v>
      </c>
      <c r="K55" s="2"/>
      <c r="L55" s="7">
        <v>2100000</v>
      </c>
      <c r="M55" s="61">
        <v>2400000</v>
      </c>
      <c r="N55" s="61">
        <f t="shared" si="3"/>
        <v>100000</v>
      </c>
      <c r="Q55" s="102" t="e">
        <f>Q51-Q53</f>
        <v>#REF!</v>
      </c>
      <c r="R55" s="58" t="s">
        <v>519</v>
      </c>
    </row>
    <row r="56" spans="1:19" x14ac:dyDescent="0.25">
      <c r="A56">
        <v>450</v>
      </c>
      <c r="B56" s="61">
        <v>3350000</v>
      </c>
      <c r="C56" s="38" t="s">
        <v>425</v>
      </c>
      <c r="D56" s="142">
        <v>700000</v>
      </c>
      <c r="E56" s="7">
        <v>170000</v>
      </c>
      <c r="F56" s="7">
        <f t="shared" si="0"/>
        <v>870000</v>
      </c>
      <c r="H56" s="7">
        <f t="shared" si="1"/>
        <v>45000</v>
      </c>
      <c r="I56" s="2"/>
      <c r="J56" s="143">
        <f t="shared" si="2"/>
        <v>3417000</v>
      </c>
      <c r="K56" s="2"/>
      <c r="L56" s="7">
        <v>2350000</v>
      </c>
      <c r="M56" s="61">
        <v>2950000</v>
      </c>
      <c r="N56" s="61">
        <f t="shared" si="3"/>
        <v>550000</v>
      </c>
      <c r="Q56" s="7"/>
    </row>
    <row r="57" spans="1:19" ht="13.5" thickBot="1" x14ac:dyDescent="0.35">
      <c r="A57" s="148">
        <f>SUM(A46:A56)</f>
        <v>3350</v>
      </c>
      <c r="Q57" s="7" t="e">
        <f>(#REF!+#REF!)*60</f>
        <v>#REF!</v>
      </c>
      <c r="R57" s="101" t="s">
        <v>514</v>
      </c>
      <c r="S57" s="150" t="s">
        <v>520</v>
      </c>
    </row>
    <row r="58" spans="1:19" x14ac:dyDescent="0.25">
      <c r="Q58" s="7">
        <f>F48</f>
        <v>492200</v>
      </c>
      <c r="R58" s="101" t="s">
        <v>515</v>
      </c>
    </row>
    <row r="59" spans="1:19" x14ac:dyDescent="0.25">
      <c r="Q59" s="149" t="e">
        <f>SUM(Q57:Q58)</f>
        <v>#REF!</v>
      </c>
      <c r="R59" s="101" t="s">
        <v>516</v>
      </c>
    </row>
    <row r="60" spans="1:19" x14ac:dyDescent="0.25">
      <c r="A60" s="1" t="s">
        <v>478</v>
      </c>
      <c r="Q60" s="7" t="e">
        <f>Q59*4</f>
        <v>#REF!</v>
      </c>
      <c r="R60" s="101" t="s">
        <v>517</v>
      </c>
    </row>
    <row r="61" spans="1:19" x14ac:dyDescent="0.25">
      <c r="A61">
        <v>600</v>
      </c>
      <c r="B61" s="61">
        <v>600000</v>
      </c>
      <c r="C61" s="151" t="s">
        <v>265</v>
      </c>
      <c r="D61" s="144">
        <f>270000*1.02</f>
        <v>275400</v>
      </c>
      <c r="E61" s="7">
        <f t="shared" ref="E61:E66" si="4">85000*1.02</f>
        <v>86700</v>
      </c>
      <c r="F61" s="7">
        <f t="shared" ref="F61:F66" si="5">SUM(D61:E61)</f>
        <v>362100</v>
      </c>
      <c r="H61" s="2"/>
      <c r="J61" s="143">
        <f t="shared" ref="J61:J66" si="6">B61+(B61*2%)</f>
        <v>612000</v>
      </c>
      <c r="Q61" s="7"/>
    </row>
    <row r="62" spans="1:19" ht="13" x14ac:dyDescent="0.3">
      <c r="A62">
        <v>100</v>
      </c>
      <c r="B62" s="61">
        <v>700000</v>
      </c>
      <c r="C62" s="151" t="s">
        <v>521</v>
      </c>
      <c r="D62" s="108">
        <f>((D63-D61)/2)+D61</f>
        <v>316200</v>
      </c>
      <c r="E62" s="7">
        <f t="shared" si="4"/>
        <v>86700</v>
      </c>
      <c r="F62" s="7">
        <f t="shared" si="5"/>
        <v>402900</v>
      </c>
      <c r="G62" s="24"/>
      <c r="H62" s="7">
        <f>F62-F61</f>
        <v>40800</v>
      </c>
      <c r="J62" s="143">
        <f t="shared" si="6"/>
        <v>714000</v>
      </c>
      <c r="Q62" s="102" t="e">
        <f>Q60-Q53</f>
        <v>#REF!</v>
      </c>
      <c r="R62" s="58" t="s">
        <v>519</v>
      </c>
      <c r="S62" s="150" t="s">
        <v>522</v>
      </c>
    </row>
    <row r="63" spans="1:19" x14ac:dyDescent="0.25">
      <c r="A63">
        <v>250</v>
      </c>
      <c r="B63" s="61">
        <v>950000</v>
      </c>
      <c r="C63" s="151" t="s">
        <v>267</v>
      </c>
      <c r="D63" s="144">
        <f>350000*1.02</f>
        <v>357000</v>
      </c>
      <c r="E63" s="7">
        <f t="shared" si="4"/>
        <v>86700</v>
      </c>
      <c r="F63" s="7">
        <f t="shared" si="5"/>
        <v>443700</v>
      </c>
      <c r="H63" s="7">
        <f>F63-F62</f>
        <v>40800</v>
      </c>
      <c r="J63" s="143">
        <f t="shared" si="6"/>
        <v>969000</v>
      </c>
      <c r="Q63" s="7"/>
    </row>
    <row r="64" spans="1:19" x14ac:dyDescent="0.25">
      <c r="A64">
        <v>150</v>
      </c>
      <c r="B64" s="61">
        <v>1100000</v>
      </c>
      <c r="C64" s="151" t="s">
        <v>264</v>
      </c>
      <c r="D64" s="108">
        <f>((D65-D63)/2)+D63</f>
        <v>367200</v>
      </c>
      <c r="E64" s="7">
        <f t="shared" si="4"/>
        <v>86700</v>
      </c>
      <c r="F64" s="7">
        <f t="shared" si="5"/>
        <v>453900</v>
      </c>
      <c r="H64" s="7">
        <f>F64-F63</f>
        <v>10200</v>
      </c>
      <c r="J64" s="143">
        <f t="shared" si="6"/>
        <v>1122000</v>
      </c>
      <c r="Q64" s="7" t="e">
        <f>252*#REF!</f>
        <v>#REF!</v>
      </c>
    </row>
    <row r="65" spans="1:20" x14ac:dyDescent="0.25">
      <c r="A65">
        <v>300</v>
      </c>
      <c r="B65" s="61">
        <v>1400000</v>
      </c>
      <c r="C65" s="151" t="s">
        <v>523</v>
      </c>
      <c r="D65" s="144">
        <f>370000*1.02</f>
        <v>377400</v>
      </c>
      <c r="E65" s="7">
        <f t="shared" si="4"/>
        <v>86700</v>
      </c>
      <c r="F65" s="7">
        <f t="shared" si="5"/>
        <v>464100</v>
      </c>
      <c r="H65" s="7">
        <f>F65-F64</f>
        <v>10200</v>
      </c>
      <c r="J65" s="143">
        <f t="shared" si="6"/>
        <v>1428000</v>
      </c>
      <c r="Q65" s="7">
        <f>F55</f>
        <v>825000</v>
      </c>
    </row>
    <row r="66" spans="1:20" x14ac:dyDescent="0.25">
      <c r="A66">
        <v>200</v>
      </c>
      <c r="B66" s="61">
        <v>1600000</v>
      </c>
      <c r="C66" s="151" t="s">
        <v>524</v>
      </c>
      <c r="D66" s="381">
        <v>380000</v>
      </c>
      <c r="E66" s="7">
        <f t="shared" si="4"/>
        <v>86700</v>
      </c>
      <c r="F66" s="7">
        <f t="shared" si="5"/>
        <v>466700</v>
      </c>
      <c r="H66" s="7">
        <f>F66-F65</f>
        <v>2600</v>
      </c>
      <c r="J66" s="143">
        <f t="shared" si="6"/>
        <v>1632000</v>
      </c>
      <c r="Q66" s="149" t="e">
        <f>SUM(Q64:Q65)</f>
        <v>#REF!</v>
      </c>
    </row>
    <row r="67" spans="1:20" x14ac:dyDescent="0.25">
      <c r="B67" s="61"/>
      <c r="C67" s="2"/>
      <c r="D67" s="7"/>
      <c r="E67" s="7"/>
      <c r="F67" s="7"/>
      <c r="H67" s="7"/>
      <c r="Q67" s="7"/>
    </row>
    <row r="68" spans="1:20" x14ac:dyDescent="0.25">
      <c r="B68" s="61"/>
      <c r="C68" s="2"/>
      <c r="D68" s="108"/>
      <c r="E68" s="108"/>
      <c r="F68" s="7"/>
      <c r="H68" s="7"/>
      <c r="Q68" s="102" t="e">
        <f>Q66-Q53</f>
        <v>#REF!</v>
      </c>
      <c r="R68" s="58" t="s">
        <v>525</v>
      </c>
    </row>
    <row r="69" spans="1:20" x14ac:dyDescent="0.25">
      <c r="B69" s="61"/>
      <c r="C69" s="2"/>
      <c r="D69" s="7"/>
      <c r="E69" s="7"/>
      <c r="F69" s="7"/>
      <c r="H69" s="7"/>
      <c r="Q69" s="7"/>
    </row>
    <row r="70" spans="1:20" ht="13" x14ac:dyDescent="0.3">
      <c r="B70" s="61">
        <v>100000</v>
      </c>
      <c r="C70" s="2">
        <v>110000</v>
      </c>
      <c r="D70" s="108">
        <v>120000</v>
      </c>
      <c r="E70" s="108">
        <v>130000</v>
      </c>
      <c r="F70" s="7">
        <v>140000</v>
      </c>
      <c r="G70">
        <v>150000</v>
      </c>
      <c r="H70" s="7"/>
      <c r="I70" s="147"/>
      <c r="Q70" s="7"/>
    </row>
    <row r="71" spans="1:20" x14ac:dyDescent="0.25">
      <c r="B71" s="61"/>
      <c r="C71" s="2"/>
      <c r="D71" s="7"/>
      <c r="E71" s="7"/>
      <c r="F71" s="7"/>
      <c r="H71" s="7"/>
      <c r="I71" s="2"/>
    </row>
    <row r="72" spans="1:20" ht="13" thickBot="1" x14ac:dyDescent="0.3">
      <c r="A72" s="755"/>
      <c r="B72" s="755"/>
      <c r="C72" s="755"/>
      <c r="D72" s="755"/>
      <c r="E72" s="755"/>
      <c r="F72" s="755"/>
      <c r="G72" s="755"/>
      <c r="H72" s="755"/>
      <c r="I72" s="759"/>
      <c r="J72" s="755"/>
      <c r="K72" s="755"/>
      <c r="L72" s="755"/>
      <c r="M72" s="755"/>
      <c r="N72" s="755"/>
      <c r="O72" s="755"/>
      <c r="P72" s="755"/>
      <c r="Q72" s="755"/>
      <c r="R72" s="755"/>
      <c r="S72" s="755"/>
      <c r="T72" s="755"/>
    </row>
    <row r="73" spans="1:20" x14ac:dyDescent="0.25">
      <c r="I73" s="2"/>
    </row>
    <row r="74" spans="1:20" x14ac:dyDescent="0.25">
      <c r="A74" s="1" t="s">
        <v>526</v>
      </c>
      <c r="I74" s="2"/>
    </row>
    <row r="75" spans="1:20" x14ac:dyDescent="0.25">
      <c r="C75" s="109" t="s">
        <v>279</v>
      </c>
      <c r="D75" s="2"/>
      <c r="E75" s="109" t="s">
        <v>271</v>
      </c>
      <c r="F75" s="2"/>
    </row>
    <row r="76" spans="1:20" ht="13" x14ac:dyDescent="0.3">
      <c r="A76" s="74">
        <v>9257029</v>
      </c>
      <c r="B76" s="13" t="s">
        <v>45</v>
      </c>
      <c r="C76" s="7">
        <f>VLOOKUP(A76,$P$84:$S$103,4,(FALSE))</f>
        <v>581416.9152688859</v>
      </c>
      <c r="D76" s="2">
        <v>3</v>
      </c>
      <c r="E76" s="7">
        <f>VLOOKUP(A76,$P$84:$R$103,3,(FALSE))</f>
        <v>603422.73477109475</v>
      </c>
      <c r="F76" s="2">
        <v>3.5</v>
      </c>
    </row>
    <row r="77" spans="1:20" x14ac:dyDescent="0.25">
      <c r="A77" s="74">
        <v>9257011</v>
      </c>
      <c r="B77" s="67" t="s">
        <v>65</v>
      </c>
      <c r="C77" s="7">
        <f t="shared" ref="C77:C93" si="7">VLOOKUP(A77,$P$84:$S$103,4,(FALSE))</f>
        <v>682103.85476892302</v>
      </c>
      <c r="D77" s="2">
        <v>3.5</v>
      </c>
      <c r="E77" s="7">
        <f t="shared" ref="E77:E93" si="8">VLOOKUP(A77,$P$84:$R$103,3,(FALSE))</f>
        <v>639534.23828842421</v>
      </c>
      <c r="F77" s="2">
        <v>3.5</v>
      </c>
    </row>
    <row r="78" spans="1:20" x14ac:dyDescent="0.25">
      <c r="A78" s="74">
        <v>9257010</v>
      </c>
      <c r="B78" s="67" t="s">
        <v>60</v>
      </c>
      <c r="C78" s="7">
        <f t="shared" si="7"/>
        <v>726587.04228393221</v>
      </c>
      <c r="D78" s="2">
        <v>4</v>
      </c>
      <c r="E78" s="7">
        <f t="shared" si="8"/>
        <v>653063.35348139156</v>
      </c>
      <c r="F78" s="2">
        <v>3.5</v>
      </c>
      <c r="M78" s="108"/>
      <c r="N78" s="108"/>
      <c r="O78" s="108"/>
      <c r="P78" s="108"/>
      <c r="Q78" s="108"/>
      <c r="R78" s="101"/>
    </row>
    <row r="79" spans="1:20" ht="13" x14ac:dyDescent="0.3">
      <c r="A79" s="74">
        <v>9257032</v>
      </c>
      <c r="B79" s="13" t="s">
        <v>46</v>
      </c>
      <c r="C79" s="7">
        <f t="shared" si="7"/>
        <v>850119.55340112012</v>
      </c>
      <c r="D79" s="2">
        <v>3.5</v>
      </c>
      <c r="E79" s="7">
        <f t="shared" si="8"/>
        <v>833904.73903107154</v>
      </c>
      <c r="F79" s="2">
        <v>3.5</v>
      </c>
      <c r="M79" s="101"/>
      <c r="N79" s="101"/>
      <c r="O79" s="101"/>
      <c r="P79" s="101"/>
      <c r="Q79" s="101"/>
      <c r="R79" s="101"/>
    </row>
    <row r="80" spans="1:20" x14ac:dyDescent="0.25">
      <c r="A80" s="74">
        <v>9257025</v>
      </c>
      <c r="B80" s="67" t="s">
        <v>64</v>
      </c>
      <c r="C80" s="7">
        <f t="shared" si="7"/>
        <v>757407.11642919737</v>
      </c>
      <c r="D80" s="2">
        <v>4</v>
      </c>
      <c r="E80" s="7">
        <f t="shared" si="8"/>
        <v>719250.58663427574</v>
      </c>
      <c r="F80" s="2">
        <v>3.5</v>
      </c>
    </row>
    <row r="81" spans="1:19" x14ac:dyDescent="0.25">
      <c r="A81" s="74">
        <v>9257033</v>
      </c>
      <c r="B81" s="67" t="s">
        <v>74</v>
      </c>
      <c r="C81" s="7">
        <f t="shared" si="7"/>
        <v>901096.48328941432</v>
      </c>
      <c r="D81" s="2">
        <v>4</v>
      </c>
      <c r="E81" s="7">
        <f t="shared" si="8"/>
        <v>736956.2316865098</v>
      </c>
      <c r="F81" s="2">
        <v>3.5</v>
      </c>
    </row>
    <row r="82" spans="1:19" x14ac:dyDescent="0.25">
      <c r="A82" s="74">
        <v>9257024</v>
      </c>
      <c r="B82" s="67" t="s">
        <v>66</v>
      </c>
      <c r="C82" s="7">
        <f t="shared" si="7"/>
        <v>878743.7336704795</v>
      </c>
      <c r="D82" s="2">
        <v>4</v>
      </c>
      <c r="E82" s="7">
        <f t="shared" si="8"/>
        <v>754467.05864135828</v>
      </c>
      <c r="F82" s="2">
        <v>4</v>
      </c>
    </row>
    <row r="83" spans="1:19" ht="13" x14ac:dyDescent="0.3">
      <c r="A83" s="74">
        <v>9257030</v>
      </c>
      <c r="B83" s="13" t="s">
        <v>47</v>
      </c>
      <c r="C83" s="7">
        <f t="shared" si="7"/>
        <v>972888.86220291676</v>
      </c>
      <c r="D83" s="2">
        <v>4</v>
      </c>
      <c r="E83" s="7">
        <f t="shared" si="8"/>
        <v>943933.83654211555</v>
      </c>
      <c r="F83" s="2">
        <v>4</v>
      </c>
      <c r="R83" s="109" t="s">
        <v>271</v>
      </c>
      <c r="S83" s="109" t="s">
        <v>279</v>
      </c>
    </row>
    <row r="84" spans="1:19" ht="13" x14ac:dyDescent="0.3">
      <c r="A84" s="74">
        <v>9257031</v>
      </c>
      <c r="B84" s="13" t="s">
        <v>44</v>
      </c>
      <c r="C84" s="7">
        <f t="shared" si="7"/>
        <v>989103.67657296546</v>
      </c>
      <c r="D84" s="2">
        <v>4</v>
      </c>
      <c r="E84" s="7">
        <f t="shared" si="8"/>
        <v>961306.85193859623</v>
      </c>
      <c r="F84" s="2">
        <v>4</v>
      </c>
      <c r="M84" s="68">
        <v>9257010</v>
      </c>
      <c r="N84" s="7">
        <v>709118.96272024023</v>
      </c>
      <c r="O84" s="7"/>
      <c r="P84" s="68">
        <v>9257010</v>
      </c>
      <c r="Q84" s="7">
        <v>637362.87720688258</v>
      </c>
      <c r="R84" s="7">
        <v>653063.35348139156</v>
      </c>
      <c r="S84" s="7">
        <v>726587.04228393221</v>
      </c>
    </row>
    <row r="85" spans="1:19" x14ac:dyDescent="0.25">
      <c r="A85" s="74">
        <v>9257008</v>
      </c>
      <c r="B85" s="67" t="s">
        <v>67</v>
      </c>
      <c r="C85" s="7">
        <f t="shared" si="7"/>
        <v>867278.07928279345</v>
      </c>
      <c r="D85" s="2">
        <v>4</v>
      </c>
      <c r="E85" s="7">
        <f t="shared" si="8"/>
        <v>840054.10369992536</v>
      </c>
      <c r="F85" s="2">
        <v>4</v>
      </c>
      <c r="M85" s="68">
        <v>9257005</v>
      </c>
      <c r="N85" s="7">
        <v>849621.58188459184</v>
      </c>
      <c r="O85" s="7"/>
      <c r="P85" s="68">
        <v>9257005</v>
      </c>
      <c r="Q85" s="7">
        <v>895601.1027865815</v>
      </c>
      <c r="R85" s="7">
        <v>937691.95577488269</v>
      </c>
      <c r="S85" s="7">
        <v>889551.52054536866</v>
      </c>
    </row>
    <row r="86" spans="1:19" x14ac:dyDescent="0.25">
      <c r="A86" s="74">
        <v>9257009</v>
      </c>
      <c r="B86" s="67" t="s">
        <v>69</v>
      </c>
      <c r="C86" s="7">
        <f t="shared" si="7"/>
        <v>944480.87797612452</v>
      </c>
      <c r="D86" s="2">
        <v>4.5</v>
      </c>
      <c r="E86" s="7">
        <f t="shared" si="8"/>
        <v>924704.31136875646</v>
      </c>
      <c r="F86" s="2">
        <v>4</v>
      </c>
      <c r="H86" s="101" t="s">
        <v>527</v>
      </c>
      <c r="M86" s="68">
        <v>9257025</v>
      </c>
      <c r="N86" s="7">
        <v>716347.44280782714</v>
      </c>
      <c r="O86" s="7"/>
      <c r="P86" s="68">
        <v>9257025</v>
      </c>
      <c r="Q86" s="7">
        <v>680259.41042456124</v>
      </c>
      <c r="R86" s="7">
        <v>719250.58663427574</v>
      </c>
      <c r="S86" s="7">
        <v>757407.11642919737</v>
      </c>
    </row>
    <row r="87" spans="1:19" x14ac:dyDescent="0.25">
      <c r="A87" s="74">
        <v>9257005</v>
      </c>
      <c r="B87" s="67" t="s">
        <v>63</v>
      </c>
      <c r="C87" s="7">
        <f t="shared" si="7"/>
        <v>889551.52054536866</v>
      </c>
      <c r="D87" s="2">
        <v>4</v>
      </c>
      <c r="E87" s="7">
        <f t="shared" si="8"/>
        <v>937691.95577488269</v>
      </c>
      <c r="F87" s="2">
        <v>4</v>
      </c>
      <c r="H87" s="108">
        <v>188370</v>
      </c>
      <c r="I87" s="7">
        <f>E87+H87</f>
        <v>1126061.9557748828</v>
      </c>
      <c r="J87" s="2">
        <v>5</v>
      </c>
      <c r="K87" s="2"/>
      <c r="M87" s="68">
        <v>9257011</v>
      </c>
      <c r="N87" s="7">
        <v>660746.5151957355</v>
      </c>
      <c r="O87" s="7"/>
      <c r="P87" s="68">
        <v>9257011</v>
      </c>
      <c r="Q87" s="7">
        <v>619509.79508918023</v>
      </c>
      <c r="R87" s="7">
        <v>639534.23828842421</v>
      </c>
      <c r="S87" s="7">
        <v>682103.85476892302</v>
      </c>
    </row>
    <row r="88" spans="1:19" x14ac:dyDescent="0.25">
      <c r="A88" s="74">
        <v>9257028</v>
      </c>
      <c r="B88" s="67" t="s">
        <v>70</v>
      </c>
      <c r="C88" s="7">
        <f t="shared" si="7"/>
        <v>1039306.0084437662</v>
      </c>
      <c r="D88" s="2">
        <v>4.5</v>
      </c>
      <c r="E88" s="7">
        <f t="shared" si="8"/>
        <v>983570.35499410029</v>
      </c>
      <c r="F88" s="2">
        <v>4.5</v>
      </c>
      <c r="M88" s="68">
        <v>9257024</v>
      </c>
      <c r="N88" s="7">
        <v>849147.17444463656</v>
      </c>
      <c r="O88" s="7"/>
      <c r="P88" s="68">
        <v>9257024</v>
      </c>
      <c r="Q88" s="7">
        <v>729056.20433943742</v>
      </c>
      <c r="R88" s="7">
        <v>754467.05864135828</v>
      </c>
      <c r="S88" s="7">
        <v>878743.7336704795</v>
      </c>
    </row>
    <row r="89" spans="1:19" x14ac:dyDescent="0.25">
      <c r="A89" s="74">
        <v>9257034</v>
      </c>
      <c r="B89" s="67" t="s">
        <v>75</v>
      </c>
      <c r="C89" s="7">
        <f t="shared" si="7"/>
        <v>1083854.947967215</v>
      </c>
      <c r="D89" s="2">
        <v>4.5</v>
      </c>
      <c r="E89" s="7">
        <f t="shared" si="8"/>
        <v>1137250.7431979529</v>
      </c>
      <c r="F89" s="2">
        <v>4.5</v>
      </c>
      <c r="M89" s="68">
        <v>9257008</v>
      </c>
      <c r="N89" s="7">
        <v>826501.5903191804</v>
      </c>
      <c r="O89" s="7"/>
      <c r="P89" s="68">
        <v>9257008</v>
      </c>
      <c r="Q89" s="7">
        <v>800557.59421050642</v>
      </c>
      <c r="R89" s="7">
        <v>840054.10369992536</v>
      </c>
      <c r="S89" s="7">
        <v>867278.07928279345</v>
      </c>
    </row>
    <row r="90" spans="1:19" x14ac:dyDescent="0.25">
      <c r="A90" s="74">
        <v>9257002</v>
      </c>
      <c r="B90" s="67" t="s">
        <v>68</v>
      </c>
      <c r="C90" s="7">
        <f t="shared" si="7"/>
        <v>1257019.3371475358</v>
      </c>
      <c r="D90" s="2">
        <v>5</v>
      </c>
      <c r="E90" s="7">
        <f t="shared" si="8"/>
        <v>1184583.4149254134</v>
      </c>
      <c r="F90" s="2">
        <v>5</v>
      </c>
      <c r="M90" s="68">
        <v>9257002</v>
      </c>
      <c r="N90" s="7">
        <v>1172340.7669869612</v>
      </c>
      <c r="O90" s="7"/>
      <c r="P90" s="68">
        <v>9257002</v>
      </c>
      <c r="Q90" s="7">
        <v>1104784.459692602</v>
      </c>
      <c r="R90" s="7">
        <v>1184583.4149254134</v>
      </c>
      <c r="S90" s="7">
        <v>1257019.3371475358</v>
      </c>
    </row>
    <row r="91" spans="1:19" x14ac:dyDescent="0.25">
      <c r="A91" s="74">
        <v>9257021</v>
      </c>
      <c r="B91" s="67" t="s">
        <v>71</v>
      </c>
      <c r="C91" s="7">
        <f t="shared" si="7"/>
        <v>1489872.6774959087</v>
      </c>
      <c r="D91" s="2">
        <v>5.5</v>
      </c>
      <c r="E91" s="7">
        <f t="shared" si="8"/>
        <v>1503533.8617016419</v>
      </c>
      <c r="F91" s="2">
        <v>6</v>
      </c>
      <c r="M91" s="68">
        <v>9257009</v>
      </c>
      <c r="N91" s="7">
        <v>902898.55986347911</v>
      </c>
      <c r="O91" s="7"/>
      <c r="P91" s="68">
        <v>9257009</v>
      </c>
      <c r="Q91" s="7">
        <v>883992.68900339352</v>
      </c>
      <c r="R91" s="7">
        <v>924704.31136875646</v>
      </c>
      <c r="S91" s="7">
        <v>944480.87797612452</v>
      </c>
    </row>
    <row r="92" spans="1:19" x14ac:dyDescent="0.25">
      <c r="A92" s="74">
        <v>9257016</v>
      </c>
      <c r="B92" s="67" t="s">
        <v>73</v>
      </c>
      <c r="C92" s="7">
        <f t="shared" si="7"/>
        <v>1943937.3602233136</v>
      </c>
      <c r="D92" s="2">
        <v>6</v>
      </c>
      <c r="E92" s="7">
        <f t="shared" si="8"/>
        <v>2023513.7433903497</v>
      </c>
      <c r="F92" s="2">
        <v>6.5</v>
      </c>
      <c r="M92" s="68">
        <v>9257028</v>
      </c>
      <c r="N92" s="7">
        <v>1008463.5165552463</v>
      </c>
      <c r="O92" s="7"/>
      <c r="P92" s="68">
        <v>9257028</v>
      </c>
      <c r="Q92" s="7">
        <v>954381.8768661638</v>
      </c>
      <c r="R92" s="7">
        <v>983570.35499410029</v>
      </c>
      <c r="S92" s="7">
        <v>1039306.0084437662</v>
      </c>
    </row>
    <row r="93" spans="1:19" x14ac:dyDescent="0.25">
      <c r="A93" s="74">
        <v>9257015</v>
      </c>
      <c r="B93" s="67" t="s">
        <v>72</v>
      </c>
      <c r="C93" s="7">
        <f t="shared" si="7"/>
        <v>2175711.2592479717</v>
      </c>
      <c r="D93" s="2">
        <v>6.5</v>
      </c>
      <c r="E93" s="7">
        <f t="shared" si="8"/>
        <v>2363573.8780183787</v>
      </c>
      <c r="F93" s="2">
        <v>7</v>
      </c>
      <c r="M93" s="68">
        <v>9257021</v>
      </c>
      <c r="N93" s="7">
        <v>1418720.4265163103</v>
      </c>
      <c r="O93" s="7"/>
      <c r="P93" s="68">
        <v>9257021</v>
      </c>
      <c r="Q93" s="7">
        <v>1431729.1898662441</v>
      </c>
      <c r="R93" s="7">
        <v>1503533.8617016419</v>
      </c>
      <c r="S93" s="7">
        <v>1489872.6774959087</v>
      </c>
    </row>
    <row r="94" spans="1:19" x14ac:dyDescent="0.25">
      <c r="M94" s="68">
        <v>9257015</v>
      </c>
      <c r="N94" s="7">
        <v>2123363.4869011724</v>
      </c>
      <c r="O94" s="7"/>
      <c r="P94" s="68">
        <v>9257015</v>
      </c>
      <c r="Q94" s="7">
        <v>2306706.1172962538</v>
      </c>
      <c r="R94" s="7">
        <v>2363573.8780183787</v>
      </c>
      <c r="S94" s="7">
        <v>2175711.2592479717</v>
      </c>
    </row>
    <row r="95" spans="1:19" x14ac:dyDescent="0.25">
      <c r="M95" s="68">
        <v>9257016</v>
      </c>
      <c r="N95" s="7">
        <v>1889322.8756522837</v>
      </c>
      <c r="O95" s="7"/>
      <c r="P95" s="68">
        <v>9257016</v>
      </c>
      <c r="Q95" s="7">
        <v>1966663.5781643654</v>
      </c>
      <c r="R95" s="7">
        <v>2023513.7433903497</v>
      </c>
      <c r="S95" s="7">
        <v>1943937.3602233136</v>
      </c>
    </row>
    <row r="96" spans="1:19" x14ac:dyDescent="0.25">
      <c r="M96" s="68"/>
      <c r="N96" s="7"/>
      <c r="O96" s="7"/>
      <c r="P96" s="68"/>
      <c r="Q96" s="7"/>
      <c r="R96" s="7"/>
      <c r="S96" s="7"/>
    </row>
    <row r="97" spans="13:19" x14ac:dyDescent="0.25">
      <c r="M97" s="68">
        <v>9257031</v>
      </c>
      <c r="N97" s="7">
        <v>801579.50990629871</v>
      </c>
      <c r="O97" s="7"/>
      <c r="P97" s="68">
        <v>9257031</v>
      </c>
      <c r="Q97" s="7">
        <v>779052.6852719296</v>
      </c>
      <c r="R97" s="7">
        <v>961306.85193859623</v>
      </c>
      <c r="S97" s="7">
        <v>989103.67657296546</v>
      </c>
    </row>
    <row r="98" spans="13:19" x14ac:dyDescent="0.25">
      <c r="M98" s="68">
        <v>9257029</v>
      </c>
      <c r="N98" s="7">
        <v>471186.08193555265</v>
      </c>
      <c r="O98" s="7"/>
      <c r="P98" s="68">
        <v>9257029</v>
      </c>
      <c r="Q98" s="7">
        <v>489019.81810442812</v>
      </c>
      <c r="R98" s="7">
        <v>603422.73477109475</v>
      </c>
      <c r="S98" s="7">
        <v>581416.9152688859</v>
      </c>
    </row>
    <row r="99" spans="13:19" x14ac:dyDescent="0.25">
      <c r="M99" s="68">
        <v>9257032</v>
      </c>
      <c r="N99" s="7">
        <v>688945.3867344535</v>
      </c>
      <c r="O99" s="7"/>
      <c r="P99" s="68">
        <v>9257032</v>
      </c>
      <c r="Q99" s="7">
        <v>675804.73903107154</v>
      </c>
      <c r="R99" s="7">
        <v>833904.73903107154</v>
      </c>
      <c r="S99" s="7">
        <v>850119.55340112012</v>
      </c>
    </row>
    <row r="100" spans="13:19" x14ac:dyDescent="0.25">
      <c r="M100" s="68">
        <v>9257030</v>
      </c>
      <c r="N100" s="7">
        <v>788438.86220291676</v>
      </c>
      <c r="O100" s="7"/>
      <c r="P100" s="68">
        <v>9257030</v>
      </c>
      <c r="Q100" s="7">
        <v>764973.41987544904</v>
      </c>
      <c r="R100" s="7">
        <v>943933.83654211555</v>
      </c>
      <c r="S100" s="7">
        <v>972888.86220291676</v>
      </c>
    </row>
    <row r="101" spans="13:19" x14ac:dyDescent="0.25">
      <c r="M101" s="68"/>
      <c r="N101" s="7"/>
      <c r="O101" s="7"/>
      <c r="P101" s="68"/>
      <c r="Q101" s="7"/>
      <c r="R101" s="7"/>
      <c r="S101" s="7"/>
    </row>
    <row r="102" spans="13:19" x14ac:dyDescent="0.25">
      <c r="M102" s="68">
        <v>9257033</v>
      </c>
      <c r="N102" s="7">
        <v>834608.52674067696</v>
      </c>
      <c r="O102" s="7"/>
      <c r="P102" s="68">
        <v>9257033</v>
      </c>
      <c r="Q102" s="7">
        <v>682579.46424888074</v>
      </c>
      <c r="R102" s="7">
        <v>736956.2316865098</v>
      </c>
      <c r="S102" s="7">
        <v>901096.48328941432</v>
      </c>
    </row>
    <row r="103" spans="13:19" x14ac:dyDescent="0.25">
      <c r="M103" s="68">
        <v>9257034</v>
      </c>
      <c r="N103" s="7">
        <v>999212.12772013131</v>
      </c>
      <c r="O103" s="7"/>
      <c r="P103" s="68">
        <v>9257034</v>
      </c>
      <c r="Q103" s="7">
        <v>1048438.0193063436</v>
      </c>
      <c r="R103" s="7">
        <v>1137250.7431979529</v>
      </c>
      <c r="S103" s="7">
        <v>1083854.947967215</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15AE-1EB3-4C74-9266-A45FFCEABF48}">
  <sheetPr>
    <tabColor theme="8" tint="0.39997558519241921"/>
  </sheetPr>
  <dimension ref="A2:R32"/>
  <sheetViews>
    <sheetView workbookViewId="0">
      <selection activeCell="F30" sqref="F30"/>
    </sheetView>
  </sheetViews>
  <sheetFormatPr defaultRowHeight="12.5" x14ac:dyDescent="0.25"/>
  <cols>
    <col min="2" max="2" width="39.453125" bestFit="1" customWidth="1"/>
    <col min="3" max="3" width="23.1796875" bestFit="1" customWidth="1"/>
    <col min="4" max="4" width="14.7265625" customWidth="1"/>
  </cols>
  <sheetData>
    <row r="2" spans="1:18" ht="13" thickBot="1" x14ac:dyDescent="0.3">
      <c r="R2" s="583"/>
    </row>
    <row r="3" spans="1:18" ht="69" customHeight="1" x14ac:dyDescent="0.25">
      <c r="A3" s="41" t="s">
        <v>155</v>
      </c>
      <c r="B3" s="42" t="s">
        <v>156</v>
      </c>
      <c r="C3" s="43" t="s">
        <v>543</v>
      </c>
      <c r="D3" s="43" t="s">
        <v>157</v>
      </c>
      <c r="F3" s="584" t="s">
        <v>48</v>
      </c>
      <c r="G3" s="1051" t="s">
        <v>175</v>
      </c>
      <c r="H3" s="1052"/>
      <c r="I3" s="1052"/>
      <c r="J3" s="1052"/>
      <c r="K3" s="1052"/>
      <c r="L3" s="1052"/>
      <c r="M3" s="1053"/>
      <c r="N3" s="1051" t="s">
        <v>529</v>
      </c>
      <c r="O3" s="1053"/>
      <c r="P3" s="584" t="s">
        <v>530</v>
      </c>
      <c r="Q3" s="585" t="s">
        <v>531</v>
      </c>
      <c r="R3" s="585" t="s">
        <v>544</v>
      </c>
    </row>
    <row r="4" spans="1:18" x14ac:dyDescent="0.25">
      <c r="A4" s="53">
        <v>9257002</v>
      </c>
      <c r="B4" s="44" t="s">
        <v>158</v>
      </c>
      <c r="C4" s="695">
        <v>52</v>
      </c>
      <c r="D4" s="45">
        <f t="shared" ref="D4:D20" si="0">($C$23*$C$24)*C4</f>
        <v>24996.399999999998</v>
      </c>
      <c r="F4" s="352">
        <v>9257002</v>
      </c>
      <c r="G4" s="1047" t="s">
        <v>532</v>
      </c>
      <c r="H4" s="1048"/>
      <c r="I4" s="1048"/>
      <c r="J4" s="1048"/>
      <c r="K4" s="1048"/>
      <c r="L4" s="1048"/>
      <c r="M4" s="1049"/>
      <c r="N4" s="1050" t="s">
        <v>533</v>
      </c>
      <c r="O4" s="1050"/>
      <c r="P4" s="352">
        <v>157</v>
      </c>
      <c r="Q4" s="352">
        <v>63</v>
      </c>
      <c r="R4" s="586">
        <v>41</v>
      </c>
    </row>
    <row r="5" spans="1:18" x14ac:dyDescent="0.25">
      <c r="A5" s="53">
        <v>9257005</v>
      </c>
      <c r="B5" s="44" t="s">
        <v>159</v>
      </c>
      <c r="C5" s="695">
        <v>22</v>
      </c>
      <c r="D5" s="45">
        <f t="shared" si="0"/>
        <v>10575.4</v>
      </c>
      <c r="F5" s="352">
        <v>9257005</v>
      </c>
      <c r="G5" s="1047" t="s">
        <v>259</v>
      </c>
      <c r="H5" s="1048"/>
      <c r="I5" s="1048"/>
      <c r="J5" s="1048"/>
      <c r="K5" s="1048"/>
      <c r="L5" s="1048"/>
      <c r="M5" s="1049"/>
      <c r="N5" s="1050" t="s">
        <v>533</v>
      </c>
      <c r="O5" s="1050"/>
      <c r="P5" s="352">
        <v>89</v>
      </c>
      <c r="Q5" s="352">
        <v>37</v>
      </c>
      <c r="R5" s="586">
        <v>28</v>
      </c>
    </row>
    <row r="6" spans="1:18" x14ac:dyDescent="0.25">
      <c r="A6" s="53">
        <v>9257008</v>
      </c>
      <c r="B6" s="44" t="s">
        <v>126</v>
      </c>
      <c r="C6" s="695">
        <v>35</v>
      </c>
      <c r="D6" s="45">
        <f t="shared" si="0"/>
        <v>16824.5</v>
      </c>
      <c r="F6" s="352">
        <v>9257008</v>
      </c>
      <c r="G6" s="1047" t="s">
        <v>534</v>
      </c>
      <c r="H6" s="1048"/>
      <c r="I6" s="1048"/>
      <c r="J6" s="1048"/>
      <c r="K6" s="1048"/>
      <c r="L6" s="1048"/>
      <c r="M6" s="1049"/>
      <c r="N6" s="1050" t="s">
        <v>533</v>
      </c>
      <c r="O6" s="1050"/>
      <c r="P6" s="352">
        <v>101</v>
      </c>
      <c r="Q6" s="352">
        <v>43</v>
      </c>
      <c r="R6" s="586">
        <v>26</v>
      </c>
    </row>
    <row r="7" spans="1:18" x14ac:dyDescent="0.25">
      <c r="A7" s="53">
        <v>9257009</v>
      </c>
      <c r="B7" s="681" t="s">
        <v>160</v>
      </c>
      <c r="C7" s="695">
        <v>49</v>
      </c>
      <c r="D7" s="45">
        <f t="shared" si="0"/>
        <v>23554.3</v>
      </c>
      <c r="F7" s="352">
        <v>9257009</v>
      </c>
      <c r="G7" s="1047" t="s">
        <v>535</v>
      </c>
      <c r="H7" s="1048"/>
      <c r="I7" s="1048"/>
      <c r="J7" s="1048"/>
      <c r="K7" s="1048"/>
      <c r="L7" s="1048"/>
      <c r="M7" s="1049"/>
      <c r="N7" s="1050" t="s">
        <v>533</v>
      </c>
      <c r="O7" s="1050"/>
      <c r="P7" s="352">
        <v>139</v>
      </c>
      <c r="Q7" s="352">
        <v>61</v>
      </c>
      <c r="R7" s="586">
        <v>37</v>
      </c>
    </row>
    <row r="8" spans="1:18" x14ac:dyDescent="0.25">
      <c r="A8" s="53">
        <v>9257010</v>
      </c>
      <c r="B8" s="44" t="s">
        <v>161</v>
      </c>
      <c r="C8" s="695">
        <v>48</v>
      </c>
      <c r="D8" s="45">
        <f t="shared" si="0"/>
        <v>23073.599999999999</v>
      </c>
      <c r="F8" s="352">
        <v>9257010</v>
      </c>
      <c r="G8" s="1047" t="s">
        <v>536</v>
      </c>
      <c r="H8" s="1048"/>
      <c r="I8" s="1048"/>
      <c r="J8" s="1048"/>
      <c r="K8" s="1048"/>
      <c r="L8" s="1048"/>
      <c r="M8" s="1049"/>
      <c r="N8" s="1050" t="s">
        <v>533</v>
      </c>
      <c r="O8" s="1050"/>
      <c r="P8" s="352">
        <v>101</v>
      </c>
      <c r="Q8" s="352">
        <v>40</v>
      </c>
      <c r="R8" s="586">
        <v>40</v>
      </c>
    </row>
    <row r="9" spans="1:18" x14ac:dyDescent="0.25">
      <c r="A9" s="53">
        <v>9257015</v>
      </c>
      <c r="B9" s="44" t="s">
        <v>163</v>
      </c>
      <c r="C9" s="695">
        <v>124</v>
      </c>
      <c r="D9" s="45">
        <f t="shared" si="0"/>
        <v>59606.799999999996</v>
      </c>
      <c r="F9" s="352">
        <v>9257015</v>
      </c>
      <c r="G9" s="1047" t="s">
        <v>72</v>
      </c>
      <c r="H9" s="1048"/>
      <c r="I9" s="1048"/>
      <c r="J9" s="1048"/>
      <c r="K9" s="1048"/>
      <c r="L9" s="1048"/>
      <c r="M9" s="1049"/>
      <c r="N9" s="1050" t="s">
        <v>533</v>
      </c>
      <c r="O9" s="1050"/>
      <c r="P9" s="352">
        <v>224</v>
      </c>
      <c r="Q9" s="352">
        <v>105</v>
      </c>
      <c r="R9" s="586">
        <v>73</v>
      </c>
    </row>
    <row r="10" spans="1:18" x14ac:dyDescent="0.25">
      <c r="A10" s="53">
        <v>9257016</v>
      </c>
      <c r="B10" s="44" t="s">
        <v>164</v>
      </c>
      <c r="C10" s="695">
        <v>43</v>
      </c>
      <c r="D10" s="45">
        <f t="shared" si="0"/>
        <v>20670.099999999999</v>
      </c>
      <c r="F10" s="352">
        <v>9257016</v>
      </c>
      <c r="G10" s="1047" t="s">
        <v>538</v>
      </c>
      <c r="H10" s="1048"/>
      <c r="I10" s="1048"/>
      <c r="J10" s="1048"/>
      <c r="K10" s="1048"/>
      <c r="L10" s="1048"/>
      <c r="M10" s="1049"/>
      <c r="N10" s="1050" t="s">
        <v>533</v>
      </c>
      <c r="O10" s="1050"/>
      <c r="P10" s="352">
        <v>163</v>
      </c>
      <c r="Q10" s="352">
        <v>62</v>
      </c>
      <c r="R10" s="586">
        <v>47</v>
      </c>
    </row>
    <row r="11" spans="1:18" x14ac:dyDescent="0.25">
      <c r="A11" s="53">
        <v>9257021</v>
      </c>
      <c r="B11" s="44" t="s">
        <v>165</v>
      </c>
      <c r="C11" s="695">
        <v>65</v>
      </c>
      <c r="D11" s="45">
        <f t="shared" si="0"/>
        <v>31245.5</v>
      </c>
      <c r="F11" s="352">
        <v>9257021</v>
      </c>
      <c r="G11" s="1047" t="s">
        <v>263</v>
      </c>
      <c r="H11" s="1048"/>
      <c r="I11" s="1048"/>
      <c r="J11" s="1048"/>
      <c r="K11" s="1048"/>
      <c r="L11" s="1048"/>
      <c r="M11" s="1049"/>
      <c r="N11" s="1050" t="s">
        <v>533</v>
      </c>
      <c r="O11" s="1050"/>
      <c r="P11" s="352">
        <v>178</v>
      </c>
      <c r="Q11" s="352">
        <v>90</v>
      </c>
      <c r="R11" s="586">
        <v>54</v>
      </c>
    </row>
    <row r="12" spans="1:18" x14ac:dyDescent="0.25">
      <c r="A12" s="53">
        <v>9257024</v>
      </c>
      <c r="B12" s="44" t="s">
        <v>166</v>
      </c>
      <c r="C12" s="695">
        <v>30</v>
      </c>
      <c r="D12" s="45">
        <f t="shared" si="0"/>
        <v>14421</v>
      </c>
      <c r="F12" s="352">
        <v>9257024</v>
      </c>
      <c r="G12" s="1047" t="s">
        <v>166</v>
      </c>
      <c r="H12" s="1048"/>
      <c r="I12" s="1048"/>
      <c r="J12" s="1048"/>
      <c r="K12" s="1048"/>
      <c r="L12" s="1048"/>
      <c r="M12" s="1049"/>
      <c r="N12" s="1050" t="s">
        <v>533</v>
      </c>
      <c r="O12" s="1050"/>
      <c r="P12" s="352">
        <v>85</v>
      </c>
      <c r="Q12" s="352">
        <v>35</v>
      </c>
      <c r="R12" s="586">
        <v>35</v>
      </c>
    </row>
    <row r="13" spans="1:18" x14ac:dyDescent="0.25">
      <c r="A13" s="53">
        <v>9257025</v>
      </c>
      <c r="B13" s="44" t="s">
        <v>167</v>
      </c>
      <c r="C13" s="695">
        <v>41</v>
      </c>
      <c r="D13" s="45">
        <f t="shared" si="0"/>
        <v>19708.7</v>
      </c>
      <c r="F13" s="352">
        <v>9257025</v>
      </c>
      <c r="G13" s="1047" t="s">
        <v>539</v>
      </c>
      <c r="H13" s="1048"/>
      <c r="I13" s="1048"/>
      <c r="J13" s="1048"/>
      <c r="K13" s="1048"/>
      <c r="L13" s="1048"/>
      <c r="M13" s="1049"/>
      <c r="N13" s="1050" t="s">
        <v>533</v>
      </c>
      <c r="O13" s="1050"/>
      <c r="P13" s="352">
        <v>82</v>
      </c>
      <c r="Q13" s="352">
        <v>39</v>
      </c>
      <c r="R13" s="586">
        <v>27</v>
      </c>
    </row>
    <row r="14" spans="1:18" x14ac:dyDescent="0.25">
      <c r="A14" s="53">
        <v>9257028</v>
      </c>
      <c r="B14" s="44" t="s">
        <v>168</v>
      </c>
      <c r="C14" s="695">
        <v>25</v>
      </c>
      <c r="D14" s="45">
        <f t="shared" si="0"/>
        <v>12017.5</v>
      </c>
      <c r="F14" s="352">
        <v>9257028</v>
      </c>
      <c r="G14" s="1047" t="s">
        <v>540</v>
      </c>
      <c r="H14" s="1048"/>
      <c r="I14" s="1048"/>
      <c r="J14" s="1048"/>
      <c r="K14" s="1048"/>
      <c r="L14" s="1048"/>
      <c r="M14" s="1049"/>
      <c r="N14" s="1050" t="s">
        <v>533</v>
      </c>
      <c r="O14" s="1050"/>
      <c r="P14" s="352">
        <v>127</v>
      </c>
      <c r="Q14" s="352">
        <v>37</v>
      </c>
      <c r="R14" s="586">
        <v>26</v>
      </c>
    </row>
    <row r="15" spans="1:18" x14ac:dyDescent="0.25">
      <c r="A15" s="53">
        <v>9257029</v>
      </c>
      <c r="B15" s="44" t="s">
        <v>278</v>
      </c>
      <c r="C15" s="695">
        <v>24</v>
      </c>
      <c r="D15" s="45">
        <f t="shared" si="0"/>
        <v>11536.8</v>
      </c>
      <c r="F15" s="352">
        <v>9257029</v>
      </c>
      <c r="G15" s="1047" t="s">
        <v>278</v>
      </c>
      <c r="H15" s="1048"/>
      <c r="I15" s="1048"/>
      <c r="J15" s="1048"/>
      <c r="K15" s="1048"/>
      <c r="L15" s="1048"/>
      <c r="M15" s="1049"/>
      <c r="N15" s="1050" t="s">
        <v>533</v>
      </c>
      <c r="O15" s="1050"/>
      <c r="P15" s="352">
        <v>75</v>
      </c>
      <c r="Q15" s="352">
        <v>36</v>
      </c>
      <c r="R15" s="586">
        <v>32</v>
      </c>
    </row>
    <row r="16" spans="1:18" x14ac:dyDescent="0.25">
      <c r="A16" s="53">
        <v>9257030</v>
      </c>
      <c r="B16" s="44" t="s">
        <v>268</v>
      </c>
      <c r="C16" s="695">
        <v>30</v>
      </c>
      <c r="D16" s="45">
        <f t="shared" si="0"/>
        <v>14421</v>
      </c>
      <c r="F16" s="352">
        <v>9257030</v>
      </c>
      <c r="G16" s="1047" t="s">
        <v>268</v>
      </c>
      <c r="H16" s="1048"/>
      <c r="I16" s="1048"/>
      <c r="J16" s="1048"/>
      <c r="K16" s="1048"/>
      <c r="L16" s="1048"/>
      <c r="M16" s="1049"/>
      <c r="N16" s="1050" t="s">
        <v>533</v>
      </c>
      <c r="O16" s="1050"/>
      <c r="P16" s="352">
        <v>70</v>
      </c>
      <c r="Q16" s="352">
        <v>35</v>
      </c>
      <c r="R16" s="586">
        <v>35</v>
      </c>
    </row>
    <row r="17" spans="1:18" x14ac:dyDescent="0.25">
      <c r="A17" s="53">
        <v>9257031</v>
      </c>
      <c r="B17" s="44" t="s">
        <v>169</v>
      </c>
      <c r="C17" s="695">
        <v>44</v>
      </c>
      <c r="D17" s="45">
        <f t="shared" si="0"/>
        <v>21150.799999999999</v>
      </c>
      <c r="F17" s="352">
        <v>9257031</v>
      </c>
      <c r="G17" s="1047" t="s">
        <v>169</v>
      </c>
      <c r="H17" s="1048"/>
      <c r="I17" s="1048"/>
      <c r="J17" s="1048"/>
      <c r="K17" s="1048"/>
      <c r="L17" s="1048"/>
      <c r="M17" s="1049"/>
      <c r="N17" s="1050" t="s">
        <v>533</v>
      </c>
      <c r="O17" s="1050"/>
      <c r="P17" s="352">
        <v>81</v>
      </c>
      <c r="Q17" s="352">
        <v>46</v>
      </c>
      <c r="R17" s="586">
        <v>42</v>
      </c>
    </row>
    <row r="18" spans="1:18" x14ac:dyDescent="0.25">
      <c r="A18" s="53">
        <v>9257032</v>
      </c>
      <c r="B18" s="44" t="s">
        <v>458</v>
      </c>
      <c r="C18" s="695">
        <v>45</v>
      </c>
      <c r="D18" s="45">
        <f t="shared" si="0"/>
        <v>21631.5</v>
      </c>
      <c r="F18" s="352">
        <v>9257032</v>
      </c>
      <c r="G18" s="1047" t="s">
        <v>266</v>
      </c>
      <c r="H18" s="1048"/>
      <c r="I18" s="1048"/>
      <c r="J18" s="1048"/>
      <c r="K18" s="1048"/>
      <c r="L18" s="1048"/>
      <c r="M18" s="1049"/>
      <c r="N18" s="1050" t="s">
        <v>533</v>
      </c>
      <c r="O18" s="1050"/>
      <c r="P18" s="352">
        <v>100</v>
      </c>
      <c r="Q18" s="352">
        <v>46</v>
      </c>
      <c r="R18" s="586">
        <v>47</v>
      </c>
    </row>
    <row r="19" spans="1:18" x14ac:dyDescent="0.25">
      <c r="A19" s="53">
        <v>9257033</v>
      </c>
      <c r="B19" s="44" t="s">
        <v>170</v>
      </c>
      <c r="C19" s="695">
        <v>64</v>
      </c>
      <c r="D19" s="45">
        <f t="shared" si="0"/>
        <v>30764.799999999999</v>
      </c>
      <c r="F19" s="352">
        <v>9257033</v>
      </c>
      <c r="G19" s="1047" t="s">
        <v>541</v>
      </c>
      <c r="H19" s="1048"/>
      <c r="I19" s="1048"/>
      <c r="J19" s="1048"/>
      <c r="K19" s="1048"/>
      <c r="L19" s="1048"/>
      <c r="M19" s="1049"/>
      <c r="N19" s="1050" t="s">
        <v>533</v>
      </c>
      <c r="O19" s="1050"/>
      <c r="P19" s="352">
        <v>112</v>
      </c>
      <c r="Q19" s="352">
        <v>66</v>
      </c>
      <c r="R19" s="586">
        <v>52</v>
      </c>
    </row>
    <row r="20" spans="1:18" ht="13" thickBot="1" x14ac:dyDescent="0.3">
      <c r="A20" s="54">
        <v>9257034</v>
      </c>
      <c r="B20" s="46" t="s">
        <v>171</v>
      </c>
      <c r="C20" s="695">
        <v>57</v>
      </c>
      <c r="D20" s="47">
        <f t="shared" si="0"/>
        <v>27399.899999999998</v>
      </c>
      <c r="F20" s="352">
        <v>9257034</v>
      </c>
      <c r="G20" s="1047" t="s">
        <v>542</v>
      </c>
      <c r="H20" s="1048"/>
      <c r="I20" s="1048"/>
      <c r="J20" s="1048"/>
      <c r="K20" s="1048"/>
      <c r="L20" s="1048"/>
      <c r="M20" s="1049"/>
      <c r="N20" s="1050" t="s">
        <v>533</v>
      </c>
      <c r="O20" s="1050"/>
      <c r="P20" s="352">
        <v>124</v>
      </c>
      <c r="Q20" s="352">
        <v>58</v>
      </c>
      <c r="R20" s="586">
        <v>54</v>
      </c>
    </row>
    <row r="21" spans="1:18" x14ac:dyDescent="0.25">
      <c r="A21" s="48"/>
      <c r="B21" s="49"/>
      <c r="C21" s="48"/>
      <c r="D21" s="50"/>
      <c r="F21" s="352">
        <v>9257012</v>
      </c>
      <c r="G21" s="1047" t="s">
        <v>545</v>
      </c>
      <c r="H21" s="1048"/>
      <c r="I21" s="1048"/>
      <c r="J21" s="1048"/>
      <c r="K21" s="1048"/>
      <c r="L21" s="1048"/>
      <c r="M21" s="1049"/>
      <c r="N21" s="1050" t="s">
        <v>533</v>
      </c>
      <c r="O21" s="1050"/>
      <c r="P21" s="352">
        <v>18</v>
      </c>
      <c r="Q21" s="352">
        <v>7</v>
      </c>
      <c r="R21" s="586">
        <v>11</v>
      </c>
    </row>
    <row r="22" spans="1:18" ht="13" thickBot="1" x14ac:dyDescent="0.3">
      <c r="A22" s="48"/>
      <c r="B22" s="49"/>
      <c r="C22" s="48"/>
      <c r="D22" s="52">
        <f>SUM(D4:D20)</f>
        <v>383598.6</v>
      </c>
    </row>
    <row r="23" spans="1:18" x14ac:dyDescent="0.25">
      <c r="A23" s="48"/>
      <c r="B23" s="51" t="s">
        <v>172</v>
      </c>
      <c r="C23" s="663">
        <v>2.5299999999999998</v>
      </c>
      <c r="D23" s="49"/>
    </row>
    <row r="24" spans="1:18" x14ac:dyDescent="0.25">
      <c r="A24" s="48"/>
      <c r="B24" s="51" t="s">
        <v>173</v>
      </c>
      <c r="C24" s="163">
        <v>190</v>
      </c>
      <c r="D24" s="49"/>
      <c r="E24">
        <f>2.47*1.024</f>
        <v>2.5292800000000004</v>
      </c>
    </row>
    <row r="25" spans="1:18" x14ac:dyDescent="0.25">
      <c r="A25" s="48"/>
      <c r="B25" s="49"/>
      <c r="C25" s="48"/>
      <c r="D25" s="49"/>
    </row>
    <row r="27" spans="1:18" x14ac:dyDescent="0.25">
      <c r="C27" s="109" t="s">
        <v>546</v>
      </c>
      <c r="D27" s="7">
        <f>'2223 FSM Calculation'!D23</f>
        <v>341650.39999999997</v>
      </c>
    </row>
    <row r="28" spans="1:18" x14ac:dyDescent="0.25">
      <c r="C28" s="2"/>
      <c r="D28" s="7"/>
    </row>
    <row r="29" spans="1:18" x14ac:dyDescent="0.25">
      <c r="C29" s="109" t="s">
        <v>174</v>
      </c>
      <c r="D29" s="7">
        <f>D22-D27</f>
        <v>41948.200000000012</v>
      </c>
    </row>
    <row r="31" spans="1:18" x14ac:dyDescent="0.25">
      <c r="B31" s="101" t="s">
        <v>547</v>
      </c>
      <c r="C31" s="680">
        <f>480/190</f>
        <v>2.5263157894736841</v>
      </c>
    </row>
    <row r="32" spans="1:18" x14ac:dyDescent="0.25">
      <c r="B32" s="58"/>
    </row>
  </sheetData>
  <mergeCells count="38">
    <mergeCell ref="G3:M3"/>
    <mergeCell ref="N3:O3"/>
    <mergeCell ref="G4:M4"/>
    <mergeCell ref="N4:O4"/>
    <mergeCell ref="G5:M5"/>
    <mergeCell ref="N5:O5"/>
    <mergeCell ref="G6:M6"/>
    <mergeCell ref="N6:O6"/>
    <mergeCell ref="G7:M7"/>
    <mergeCell ref="N7:O7"/>
    <mergeCell ref="G8:M8"/>
    <mergeCell ref="N8:O8"/>
    <mergeCell ref="G9:M9"/>
    <mergeCell ref="N9:O9"/>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BD9DC-CA18-4651-98E2-AE7D8E364C83}">
  <sheetPr>
    <tabColor rgb="FFFFC000"/>
  </sheetPr>
  <dimension ref="A2:W32"/>
  <sheetViews>
    <sheetView workbookViewId="0">
      <selection activeCell="C31" sqref="C31"/>
    </sheetView>
  </sheetViews>
  <sheetFormatPr defaultRowHeight="12.5" x14ac:dyDescent="0.25"/>
  <cols>
    <col min="2" max="2" width="39.453125" bestFit="1" customWidth="1"/>
    <col min="3" max="3" width="23.1796875" bestFit="1" customWidth="1"/>
    <col min="4" max="4" width="14.7265625" customWidth="1"/>
  </cols>
  <sheetData>
    <row r="2" spans="1:23" ht="13" thickBot="1" x14ac:dyDescent="0.3">
      <c r="R2" s="583"/>
    </row>
    <row r="3" spans="1:23" ht="69" customHeight="1" x14ac:dyDescent="0.25">
      <c r="A3" s="41" t="s">
        <v>155</v>
      </c>
      <c r="B3" s="42" t="s">
        <v>156</v>
      </c>
      <c r="C3" s="43" t="s">
        <v>899</v>
      </c>
      <c r="D3" s="43" t="s">
        <v>157</v>
      </c>
      <c r="F3" s="939" t="s">
        <v>48</v>
      </c>
      <c r="G3" s="1054" t="s">
        <v>175</v>
      </c>
      <c r="H3" s="1054"/>
      <c r="I3" s="1054"/>
      <c r="J3" s="1054"/>
      <c r="K3" s="1054"/>
      <c r="L3" s="1054"/>
      <c r="M3" s="1054"/>
      <c r="N3" s="1054" t="s">
        <v>529</v>
      </c>
      <c r="O3" s="1054"/>
      <c r="P3" s="584" t="s">
        <v>530</v>
      </c>
      <c r="Q3" s="584" t="s">
        <v>531</v>
      </c>
      <c r="R3" s="584" t="s">
        <v>1070</v>
      </c>
      <c r="S3" s="940"/>
      <c r="T3" s="584" t="s">
        <v>1071</v>
      </c>
      <c r="U3" s="584" t="s">
        <v>1072</v>
      </c>
      <c r="V3" s="584" t="s">
        <v>1073</v>
      </c>
      <c r="W3" s="941" t="s">
        <v>1074</v>
      </c>
    </row>
    <row r="4" spans="1:23" ht="13" x14ac:dyDescent="0.3">
      <c r="A4" s="53">
        <v>9257002</v>
      </c>
      <c r="B4" s="44" t="s">
        <v>158</v>
      </c>
      <c r="C4" s="951">
        <f>W4</f>
        <v>46</v>
      </c>
      <c r="D4" s="45">
        <f t="shared" ref="D4:D20" si="0">($C$23*$C$24)*C4</f>
        <v>22549.200000000001</v>
      </c>
      <c r="F4" s="942">
        <v>9257002</v>
      </c>
      <c r="G4" s="1055" t="s">
        <v>532</v>
      </c>
      <c r="H4" s="1055"/>
      <c r="I4" s="1055"/>
      <c r="J4" s="1055"/>
      <c r="K4" s="1055"/>
      <c r="L4" s="1055"/>
      <c r="M4" s="1055"/>
      <c r="N4" s="1055" t="s">
        <v>533</v>
      </c>
      <c r="O4" s="1056"/>
      <c r="P4" s="352">
        <v>172</v>
      </c>
      <c r="Q4" s="944">
        <v>74</v>
      </c>
      <c r="R4" s="945">
        <v>0.43023255813953498</v>
      </c>
      <c r="S4" s="946"/>
      <c r="T4" s="944">
        <v>172</v>
      </c>
      <c r="U4" s="944">
        <v>74</v>
      </c>
      <c r="V4" s="947">
        <v>0.43023255813953498</v>
      </c>
      <c r="W4" s="948">
        <v>46</v>
      </c>
    </row>
    <row r="5" spans="1:23" ht="13" x14ac:dyDescent="0.3">
      <c r="A5" s="53">
        <v>9257005</v>
      </c>
      <c r="B5" s="44" t="s">
        <v>159</v>
      </c>
      <c r="C5" s="951">
        <f t="shared" ref="C5:C20" si="1">W5</f>
        <v>24</v>
      </c>
      <c r="D5" s="45">
        <f t="shared" si="0"/>
        <v>11764.8</v>
      </c>
      <c r="F5" s="942">
        <v>9257005</v>
      </c>
      <c r="G5" s="1055" t="s">
        <v>259</v>
      </c>
      <c r="H5" s="1055"/>
      <c r="I5" s="1055"/>
      <c r="J5" s="1055"/>
      <c r="K5" s="1055"/>
      <c r="L5" s="1055"/>
      <c r="M5" s="1055"/>
      <c r="N5" s="1055" t="s">
        <v>533</v>
      </c>
      <c r="O5" s="1056"/>
      <c r="P5" s="352">
        <v>78</v>
      </c>
      <c r="Q5" s="949">
        <v>31</v>
      </c>
      <c r="R5" s="947">
        <v>0.39743589743589702</v>
      </c>
      <c r="S5" s="946"/>
      <c r="T5" s="949">
        <v>59</v>
      </c>
      <c r="U5" s="949">
        <v>21</v>
      </c>
      <c r="V5" s="947">
        <v>0.355932203389831</v>
      </c>
      <c r="W5" s="948">
        <v>24</v>
      </c>
    </row>
    <row r="6" spans="1:23" ht="13" x14ac:dyDescent="0.3">
      <c r="A6" s="53">
        <v>9257008</v>
      </c>
      <c r="B6" s="44" t="s">
        <v>126</v>
      </c>
      <c r="C6" s="951">
        <f t="shared" si="1"/>
        <v>37</v>
      </c>
      <c r="D6" s="45">
        <f t="shared" si="0"/>
        <v>18137.399999999998</v>
      </c>
      <c r="F6" s="942">
        <v>9257008</v>
      </c>
      <c r="G6" s="1055" t="s">
        <v>534</v>
      </c>
      <c r="H6" s="1055"/>
      <c r="I6" s="1055"/>
      <c r="J6" s="1055"/>
      <c r="K6" s="1055"/>
      <c r="L6" s="1055"/>
      <c r="M6" s="1055"/>
      <c r="N6" s="1055" t="s">
        <v>533</v>
      </c>
      <c r="O6" s="1056"/>
      <c r="P6" s="352">
        <v>101</v>
      </c>
      <c r="Q6" s="944">
        <v>41</v>
      </c>
      <c r="R6" s="947">
        <v>0.40594059405940602</v>
      </c>
      <c r="S6" s="946"/>
      <c r="T6" s="944">
        <v>101</v>
      </c>
      <c r="U6" s="944">
        <v>41</v>
      </c>
      <c r="V6" s="947">
        <v>0.40594059405940602</v>
      </c>
      <c r="W6" s="948">
        <v>37</v>
      </c>
    </row>
    <row r="7" spans="1:23" ht="13" x14ac:dyDescent="0.3">
      <c r="A7" s="53">
        <v>9257009</v>
      </c>
      <c r="B7" s="44" t="s">
        <v>160</v>
      </c>
      <c r="C7" s="951">
        <f t="shared" si="1"/>
        <v>106</v>
      </c>
      <c r="D7" s="45">
        <f t="shared" si="0"/>
        <v>51961.2</v>
      </c>
      <c r="F7" s="942">
        <v>9257009</v>
      </c>
      <c r="G7" s="1055" t="s">
        <v>1075</v>
      </c>
      <c r="H7" s="1055"/>
      <c r="I7" s="1055"/>
      <c r="J7" s="1055"/>
      <c r="K7" s="1055"/>
      <c r="L7" s="1055"/>
      <c r="M7" s="1055"/>
      <c r="N7" s="1055" t="s">
        <v>533</v>
      </c>
      <c r="O7" s="1056"/>
      <c r="P7" s="352">
        <v>216</v>
      </c>
      <c r="Q7" s="949">
        <v>113</v>
      </c>
      <c r="R7" s="945">
        <v>0.52314814814814803</v>
      </c>
      <c r="S7" s="946"/>
      <c r="T7" s="949">
        <v>197</v>
      </c>
      <c r="U7" s="949">
        <v>102</v>
      </c>
      <c r="V7" s="945">
        <v>0.51776649746192904</v>
      </c>
      <c r="W7" s="948">
        <v>106</v>
      </c>
    </row>
    <row r="8" spans="1:23" ht="13" x14ac:dyDescent="0.3">
      <c r="A8" s="53">
        <v>9257010</v>
      </c>
      <c r="B8" s="44" t="s">
        <v>1076</v>
      </c>
      <c r="C8" s="951">
        <f t="shared" si="1"/>
        <v>52</v>
      </c>
      <c r="D8" s="45">
        <f>($C$23*$C$24)*C8</f>
        <v>25490.399999999998</v>
      </c>
      <c r="F8" s="942">
        <v>9257010</v>
      </c>
      <c r="G8" s="1055" t="s">
        <v>1076</v>
      </c>
      <c r="H8" s="1055"/>
      <c r="I8" s="1055"/>
      <c r="J8" s="1055"/>
      <c r="K8" s="1055"/>
      <c r="L8" s="1055"/>
      <c r="M8" s="1055"/>
      <c r="N8" s="1055" t="s">
        <v>533</v>
      </c>
      <c r="O8" s="1056"/>
      <c r="P8" s="352">
        <v>149</v>
      </c>
      <c r="Q8" s="944">
        <v>60</v>
      </c>
      <c r="R8" s="947">
        <v>0.40268456375838901</v>
      </c>
      <c r="S8" s="946"/>
      <c r="T8" s="944">
        <v>124</v>
      </c>
      <c r="U8" s="944">
        <v>49</v>
      </c>
      <c r="V8" s="947">
        <v>0.39516129032258102</v>
      </c>
      <c r="W8" s="948">
        <v>52</v>
      </c>
    </row>
    <row r="9" spans="1:23" ht="13" x14ac:dyDescent="0.3">
      <c r="A9" s="53">
        <v>9257015</v>
      </c>
      <c r="B9" s="44" t="s">
        <v>163</v>
      </c>
      <c r="C9" s="951">
        <f t="shared" si="1"/>
        <v>109</v>
      </c>
      <c r="D9" s="45">
        <f t="shared" si="0"/>
        <v>53431.799999999996</v>
      </c>
      <c r="F9" s="942">
        <v>9257015</v>
      </c>
      <c r="G9" s="1055" t="s">
        <v>72</v>
      </c>
      <c r="H9" s="1055"/>
      <c r="I9" s="1055"/>
      <c r="J9" s="1055"/>
      <c r="K9" s="1055"/>
      <c r="L9" s="1055"/>
      <c r="M9" s="1055"/>
      <c r="N9" s="1055" t="s">
        <v>533</v>
      </c>
      <c r="O9" s="1056"/>
      <c r="P9" s="352">
        <v>236</v>
      </c>
      <c r="Q9" s="944">
        <v>110</v>
      </c>
      <c r="R9" s="945">
        <v>0.46610169491525399</v>
      </c>
      <c r="S9" s="946"/>
      <c r="T9" s="944">
        <v>203</v>
      </c>
      <c r="U9" s="944">
        <v>95</v>
      </c>
      <c r="V9" s="945">
        <v>0.467980295566502</v>
      </c>
      <c r="W9" s="948">
        <v>109</v>
      </c>
    </row>
    <row r="10" spans="1:23" ht="13" x14ac:dyDescent="0.3">
      <c r="A10" s="53">
        <v>9257016</v>
      </c>
      <c r="B10" s="44" t="s">
        <v>164</v>
      </c>
      <c r="C10" s="951">
        <f t="shared" si="1"/>
        <v>53</v>
      </c>
      <c r="D10" s="45">
        <f t="shared" si="0"/>
        <v>25980.6</v>
      </c>
      <c r="F10" s="942">
        <v>9257016</v>
      </c>
      <c r="G10" s="1055" t="s">
        <v>538</v>
      </c>
      <c r="H10" s="1055"/>
      <c r="I10" s="1055"/>
      <c r="J10" s="1055"/>
      <c r="K10" s="1055"/>
      <c r="L10" s="1055"/>
      <c r="M10" s="1055"/>
      <c r="N10" s="1055" t="s">
        <v>533</v>
      </c>
      <c r="O10" s="1056"/>
      <c r="P10" s="352">
        <v>161</v>
      </c>
      <c r="Q10" s="949">
        <v>71</v>
      </c>
      <c r="R10" s="945">
        <v>0.440993788819876</v>
      </c>
      <c r="S10" s="946"/>
      <c r="T10" s="949">
        <v>113</v>
      </c>
      <c r="U10" s="949">
        <v>52</v>
      </c>
      <c r="V10" s="945">
        <v>0.46017699115044303</v>
      </c>
      <c r="W10" s="948">
        <v>53</v>
      </c>
    </row>
    <row r="11" spans="1:23" ht="13" x14ac:dyDescent="0.3">
      <c r="A11" s="53">
        <v>9257021</v>
      </c>
      <c r="B11" s="44" t="s">
        <v>165</v>
      </c>
      <c r="C11" s="951">
        <f t="shared" si="1"/>
        <v>52</v>
      </c>
      <c r="D11" s="45">
        <f t="shared" si="0"/>
        <v>25490.399999999998</v>
      </c>
      <c r="F11" s="942">
        <v>9257021</v>
      </c>
      <c r="G11" s="1055" t="s">
        <v>263</v>
      </c>
      <c r="H11" s="1055"/>
      <c r="I11" s="1055"/>
      <c r="J11" s="1055"/>
      <c r="K11" s="1055"/>
      <c r="L11" s="1055"/>
      <c r="M11" s="1055"/>
      <c r="N11" s="1055" t="s">
        <v>533</v>
      </c>
      <c r="O11" s="1056"/>
      <c r="P11" s="352">
        <v>179</v>
      </c>
      <c r="Q11" s="944">
        <v>93</v>
      </c>
      <c r="R11" s="945">
        <v>0.51955307262569805</v>
      </c>
      <c r="S11" s="946"/>
      <c r="T11" s="944">
        <v>179</v>
      </c>
      <c r="U11" s="944">
        <v>93</v>
      </c>
      <c r="V11" s="945">
        <v>0.51955307262569805</v>
      </c>
      <c r="W11" s="948">
        <v>52</v>
      </c>
    </row>
    <row r="12" spans="1:23" ht="13" x14ac:dyDescent="0.3">
      <c r="A12" s="53">
        <v>9257024</v>
      </c>
      <c r="B12" s="44" t="s">
        <v>166</v>
      </c>
      <c r="C12" s="951">
        <f t="shared" si="1"/>
        <v>44</v>
      </c>
      <c r="D12" s="45">
        <f t="shared" si="0"/>
        <v>21568.799999999999</v>
      </c>
      <c r="F12" s="942">
        <v>9257024</v>
      </c>
      <c r="G12" s="1058" t="s">
        <v>166</v>
      </c>
      <c r="H12" s="1059"/>
      <c r="I12" s="1059"/>
      <c r="J12" s="1059"/>
      <c r="K12" s="1060"/>
      <c r="L12" s="943"/>
      <c r="M12" s="943"/>
      <c r="N12" s="1056" t="s">
        <v>533</v>
      </c>
      <c r="O12" s="1057"/>
      <c r="P12" s="949">
        <v>96</v>
      </c>
      <c r="Q12" s="949">
        <v>51</v>
      </c>
      <c r="R12" s="945">
        <v>0.53125</v>
      </c>
      <c r="S12" s="946"/>
      <c r="T12" s="949">
        <v>78</v>
      </c>
      <c r="U12" s="949">
        <v>40</v>
      </c>
      <c r="V12" s="945">
        <v>0.512820512820513</v>
      </c>
      <c r="W12" s="948">
        <v>44</v>
      </c>
    </row>
    <row r="13" spans="1:23" ht="13" x14ac:dyDescent="0.3">
      <c r="A13" s="53">
        <v>9257025</v>
      </c>
      <c r="B13" s="44" t="s">
        <v>167</v>
      </c>
      <c r="C13" s="951">
        <f t="shared" si="1"/>
        <v>40</v>
      </c>
      <c r="D13" s="45">
        <f t="shared" si="0"/>
        <v>19608</v>
      </c>
      <c r="F13" s="942">
        <v>9257025</v>
      </c>
      <c r="G13" s="1055" t="s">
        <v>539</v>
      </c>
      <c r="H13" s="1055"/>
      <c r="I13" s="1055"/>
      <c r="J13" s="1055"/>
      <c r="K13" s="1055"/>
      <c r="L13" s="1055"/>
      <c r="M13" s="1055"/>
      <c r="N13" s="1055" t="s">
        <v>533</v>
      </c>
      <c r="O13" s="1056"/>
      <c r="P13" s="352">
        <v>101</v>
      </c>
      <c r="Q13" s="944">
        <v>61</v>
      </c>
      <c r="R13" s="945">
        <v>0.60396039603960405</v>
      </c>
      <c r="S13" s="946"/>
      <c r="T13" s="944">
        <v>79</v>
      </c>
      <c r="U13" s="944">
        <v>46</v>
      </c>
      <c r="V13" s="945">
        <v>0.582278481012658</v>
      </c>
      <c r="W13" s="948">
        <v>40</v>
      </c>
    </row>
    <row r="14" spans="1:23" ht="13" x14ac:dyDescent="0.3">
      <c r="A14" s="53">
        <v>9257028</v>
      </c>
      <c r="B14" s="44" t="s">
        <v>168</v>
      </c>
      <c r="C14" s="951">
        <f t="shared" si="1"/>
        <v>63</v>
      </c>
      <c r="D14" s="45">
        <f t="shared" si="0"/>
        <v>30882.6</v>
      </c>
      <c r="F14" s="942">
        <v>9257028</v>
      </c>
      <c r="G14" s="1055" t="s">
        <v>540</v>
      </c>
      <c r="H14" s="1055"/>
      <c r="I14" s="1055"/>
      <c r="J14" s="1055"/>
      <c r="K14" s="1055"/>
      <c r="L14" s="1055"/>
      <c r="M14" s="1055"/>
      <c r="N14" s="1055" t="s">
        <v>533</v>
      </c>
      <c r="O14" s="1056"/>
      <c r="P14" s="352">
        <v>141</v>
      </c>
      <c r="Q14" s="949">
        <v>53</v>
      </c>
      <c r="R14" s="947">
        <v>0.37588652482269502</v>
      </c>
      <c r="S14" s="946"/>
      <c r="T14" s="949">
        <v>123</v>
      </c>
      <c r="U14" s="949">
        <v>46</v>
      </c>
      <c r="V14" s="947">
        <v>0.37398373983739802</v>
      </c>
      <c r="W14" s="948">
        <v>63</v>
      </c>
    </row>
    <row r="15" spans="1:23" ht="13" x14ac:dyDescent="0.3">
      <c r="A15" s="53">
        <v>9257029</v>
      </c>
      <c r="B15" s="44" t="s">
        <v>278</v>
      </c>
      <c r="C15" s="951">
        <f t="shared" si="1"/>
        <v>37</v>
      </c>
      <c r="D15" s="45">
        <f t="shared" si="0"/>
        <v>18137.399999999998</v>
      </c>
      <c r="F15" s="942">
        <v>9257029</v>
      </c>
      <c r="G15" s="1055" t="s">
        <v>278</v>
      </c>
      <c r="H15" s="1055"/>
      <c r="I15" s="1055"/>
      <c r="J15" s="1055"/>
      <c r="K15" s="1055"/>
      <c r="L15" s="1055"/>
      <c r="M15" s="1055"/>
      <c r="N15" s="1055" t="s">
        <v>533</v>
      </c>
      <c r="O15" s="1056"/>
      <c r="P15" s="352">
        <v>83</v>
      </c>
      <c r="Q15" s="944">
        <v>38</v>
      </c>
      <c r="R15" s="945">
        <v>0.45783132530120502</v>
      </c>
      <c r="S15" s="946"/>
      <c r="T15" s="944">
        <v>83</v>
      </c>
      <c r="U15" s="944">
        <v>38</v>
      </c>
      <c r="V15" s="945">
        <v>0.45783132530120502</v>
      </c>
      <c r="W15" s="948">
        <v>37</v>
      </c>
    </row>
    <row r="16" spans="1:23" ht="13" x14ac:dyDescent="0.3">
      <c r="A16" s="53">
        <v>9257030</v>
      </c>
      <c r="B16" s="44" t="s">
        <v>268</v>
      </c>
      <c r="C16" s="951">
        <f t="shared" si="1"/>
        <v>42</v>
      </c>
      <c r="D16" s="45">
        <f t="shared" si="0"/>
        <v>20588.399999999998</v>
      </c>
      <c r="F16" s="942">
        <v>9257030</v>
      </c>
      <c r="G16" s="1055" t="s">
        <v>268</v>
      </c>
      <c r="H16" s="1055"/>
      <c r="I16" s="1055"/>
      <c r="J16" s="1055"/>
      <c r="K16" s="1055"/>
      <c r="L16" s="1055"/>
      <c r="M16" s="1055"/>
      <c r="N16" s="1055" t="s">
        <v>533</v>
      </c>
      <c r="O16" s="1056"/>
      <c r="P16" s="352">
        <v>71</v>
      </c>
      <c r="Q16" s="949">
        <v>45</v>
      </c>
      <c r="R16" s="945">
        <v>0.63380281690140905</v>
      </c>
      <c r="S16" s="946"/>
      <c r="T16" s="949">
        <v>71</v>
      </c>
      <c r="U16" s="949">
        <v>45</v>
      </c>
      <c r="V16" s="945">
        <v>0.63380281690140905</v>
      </c>
      <c r="W16" s="948">
        <v>42</v>
      </c>
    </row>
    <row r="17" spans="1:23" ht="13" x14ac:dyDescent="0.3">
      <c r="A17" s="53">
        <v>9257031</v>
      </c>
      <c r="B17" s="44" t="s">
        <v>169</v>
      </c>
      <c r="C17" s="951">
        <f t="shared" si="1"/>
        <v>35</v>
      </c>
      <c r="D17" s="45">
        <f t="shared" si="0"/>
        <v>17157</v>
      </c>
      <c r="F17" s="942">
        <v>9257031</v>
      </c>
      <c r="G17" s="1055" t="s">
        <v>169</v>
      </c>
      <c r="H17" s="1055"/>
      <c r="I17" s="1055"/>
      <c r="J17" s="1055"/>
      <c r="K17" s="1055"/>
      <c r="L17" s="1055"/>
      <c r="M17" s="1055"/>
      <c r="N17" s="1055" t="s">
        <v>533</v>
      </c>
      <c r="O17" s="1056"/>
      <c r="P17" s="352">
        <v>78</v>
      </c>
      <c r="Q17" s="944">
        <v>52</v>
      </c>
      <c r="R17" s="945">
        <v>0.66666666666666696</v>
      </c>
      <c r="S17" s="946"/>
      <c r="T17" s="944">
        <v>78</v>
      </c>
      <c r="U17" s="944">
        <v>52</v>
      </c>
      <c r="V17" s="945">
        <v>0.66666666666666696</v>
      </c>
      <c r="W17" s="948">
        <v>35</v>
      </c>
    </row>
    <row r="18" spans="1:23" ht="13" x14ac:dyDescent="0.3">
      <c r="A18" s="53">
        <v>9257032</v>
      </c>
      <c r="B18" s="44" t="s">
        <v>458</v>
      </c>
      <c r="C18" s="951">
        <f t="shared" si="1"/>
        <v>48</v>
      </c>
      <c r="D18" s="45">
        <f t="shared" si="0"/>
        <v>23529.599999999999</v>
      </c>
      <c r="F18" s="942">
        <v>9257032</v>
      </c>
      <c r="G18" s="1055" t="s">
        <v>266</v>
      </c>
      <c r="H18" s="1055"/>
      <c r="I18" s="1055"/>
      <c r="J18" s="1055"/>
      <c r="K18" s="1055"/>
      <c r="L18" s="1055"/>
      <c r="M18" s="1055"/>
      <c r="N18" s="1055" t="s">
        <v>533</v>
      </c>
      <c r="O18" s="1056"/>
      <c r="P18" s="352">
        <v>115</v>
      </c>
      <c r="Q18" s="949">
        <v>63</v>
      </c>
      <c r="R18" s="945">
        <v>0.54782608695652202</v>
      </c>
      <c r="S18" s="946"/>
      <c r="T18" s="949">
        <v>115</v>
      </c>
      <c r="U18" s="949">
        <v>63</v>
      </c>
      <c r="V18" s="945">
        <v>0.54782608695652202</v>
      </c>
      <c r="W18" s="948">
        <v>48</v>
      </c>
    </row>
    <row r="19" spans="1:23" ht="13" x14ac:dyDescent="0.3">
      <c r="A19" s="53">
        <v>9257033</v>
      </c>
      <c r="B19" s="44" t="s">
        <v>170</v>
      </c>
      <c r="C19" s="951">
        <f t="shared" si="1"/>
        <v>69</v>
      </c>
      <c r="D19" s="45">
        <f t="shared" si="0"/>
        <v>33823.799999999996</v>
      </c>
      <c r="F19" s="942">
        <v>9257033</v>
      </c>
      <c r="G19" s="1055" t="s">
        <v>541</v>
      </c>
      <c r="H19" s="1055"/>
      <c r="I19" s="1055"/>
      <c r="J19" s="1055"/>
      <c r="K19" s="1055"/>
      <c r="L19" s="1055"/>
      <c r="M19" s="1055"/>
      <c r="N19" s="1055" t="s">
        <v>533</v>
      </c>
      <c r="O19" s="1056"/>
      <c r="P19" s="352">
        <v>116</v>
      </c>
      <c r="Q19" s="944">
        <v>71</v>
      </c>
      <c r="R19" s="945">
        <v>0.61206896551724099</v>
      </c>
      <c r="S19" s="946"/>
      <c r="T19" s="944">
        <v>116</v>
      </c>
      <c r="U19" s="944">
        <v>71</v>
      </c>
      <c r="V19" s="945">
        <v>0.61206896551724099</v>
      </c>
      <c r="W19" s="948">
        <v>69</v>
      </c>
    </row>
    <row r="20" spans="1:23" ht="15" thickBot="1" x14ac:dyDescent="0.4">
      <c r="A20" s="54">
        <v>9257034</v>
      </c>
      <c r="B20" s="46" t="s">
        <v>171</v>
      </c>
      <c r="C20" s="951">
        <f t="shared" si="1"/>
        <v>72</v>
      </c>
      <c r="D20" s="47">
        <f t="shared" si="0"/>
        <v>35294.400000000001</v>
      </c>
      <c r="F20" s="942">
        <v>9257034</v>
      </c>
      <c r="G20" s="1055" t="s">
        <v>542</v>
      </c>
      <c r="H20" s="1055"/>
      <c r="I20" s="1055"/>
      <c r="J20" s="1055"/>
      <c r="K20" s="1055"/>
      <c r="L20" s="1055"/>
      <c r="M20" s="1055"/>
      <c r="N20" s="1055" t="s">
        <v>533</v>
      </c>
      <c r="O20" s="1056"/>
      <c r="P20" s="352">
        <v>141</v>
      </c>
      <c r="Q20" s="949">
        <v>81</v>
      </c>
      <c r="R20" s="945">
        <v>0.57446808510638303</v>
      </c>
      <c r="S20" s="946"/>
      <c r="T20" s="949">
        <v>113</v>
      </c>
      <c r="U20" s="949">
        <v>69</v>
      </c>
      <c r="V20" s="945">
        <v>0.61061946902654896</v>
      </c>
      <c r="W20" s="950">
        <v>72</v>
      </c>
    </row>
    <row r="21" spans="1:23" x14ac:dyDescent="0.25">
      <c r="A21" s="48"/>
      <c r="B21" s="49"/>
      <c r="C21" s="48"/>
      <c r="D21" s="50"/>
    </row>
    <row r="22" spans="1:23" ht="13" thickBot="1" x14ac:dyDescent="0.3">
      <c r="A22" s="48"/>
      <c r="B22" s="49"/>
      <c r="C22" s="48"/>
      <c r="D22" s="52">
        <f>SUM(D4:D20)</f>
        <v>455395.8</v>
      </c>
    </row>
    <row r="23" spans="1:23" x14ac:dyDescent="0.25">
      <c r="A23" s="48"/>
      <c r="B23" s="51" t="s">
        <v>172</v>
      </c>
      <c r="C23" s="938">
        <v>2.58</v>
      </c>
      <c r="D23" s="49"/>
    </row>
    <row r="24" spans="1:23" x14ac:dyDescent="0.25">
      <c r="A24" s="48"/>
      <c r="B24" s="51" t="s">
        <v>173</v>
      </c>
      <c r="C24" s="163">
        <v>190</v>
      </c>
      <c r="D24" s="49"/>
      <c r="E24">
        <f>2.47*1.024</f>
        <v>2.5292800000000004</v>
      </c>
    </row>
    <row r="25" spans="1:23" x14ac:dyDescent="0.25">
      <c r="A25" s="48"/>
      <c r="B25" s="49"/>
      <c r="C25" s="48"/>
      <c r="D25" s="49"/>
    </row>
    <row r="27" spans="1:23" x14ac:dyDescent="0.25">
      <c r="C27" s="109" t="s">
        <v>898</v>
      </c>
      <c r="D27" s="7">
        <f>'2324 FSM Calculation'!D22</f>
        <v>383598.6</v>
      </c>
    </row>
    <row r="28" spans="1:23" x14ac:dyDescent="0.25">
      <c r="C28" s="2"/>
      <c r="D28" s="7"/>
    </row>
    <row r="29" spans="1:23" x14ac:dyDescent="0.25">
      <c r="C29" s="109" t="s">
        <v>174</v>
      </c>
      <c r="D29" s="7">
        <f>D22-D27</f>
        <v>71797.200000000012</v>
      </c>
    </row>
    <row r="31" spans="1:23" x14ac:dyDescent="0.25">
      <c r="B31" s="101" t="s">
        <v>1069</v>
      </c>
      <c r="C31" s="680">
        <f>490/190</f>
        <v>2.5789473684210527</v>
      </c>
    </row>
    <row r="32" spans="1:23" x14ac:dyDescent="0.25">
      <c r="B32" s="58"/>
    </row>
  </sheetData>
  <mergeCells count="36">
    <mergeCell ref="G15:M15"/>
    <mergeCell ref="N15:O15"/>
    <mergeCell ref="G16:M16"/>
    <mergeCell ref="N16:O16"/>
    <mergeCell ref="G20:M20"/>
    <mergeCell ref="N20:O20"/>
    <mergeCell ref="G17:M17"/>
    <mergeCell ref="N17:O17"/>
    <mergeCell ref="G18:M18"/>
    <mergeCell ref="N18:O18"/>
    <mergeCell ref="G19:M19"/>
    <mergeCell ref="N19:O19"/>
    <mergeCell ref="N12:O12"/>
    <mergeCell ref="G13:M13"/>
    <mergeCell ref="N13:O13"/>
    <mergeCell ref="G12:K12"/>
    <mergeCell ref="G14:M14"/>
    <mergeCell ref="N14:O14"/>
    <mergeCell ref="G9:M9"/>
    <mergeCell ref="N9:O9"/>
    <mergeCell ref="G10:M10"/>
    <mergeCell ref="N10:O10"/>
    <mergeCell ref="G11:M11"/>
    <mergeCell ref="N11:O11"/>
    <mergeCell ref="G6:M6"/>
    <mergeCell ref="N6:O6"/>
    <mergeCell ref="G7:M7"/>
    <mergeCell ref="N7:O7"/>
    <mergeCell ref="G8:M8"/>
    <mergeCell ref="N8:O8"/>
    <mergeCell ref="G3:M3"/>
    <mergeCell ref="N3:O3"/>
    <mergeCell ref="G4:M4"/>
    <mergeCell ref="N4:O4"/>
    <mergeCell ref="G5:M5"/>
    <mergeCell ref="N5:O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27BE-5299-4442-BD20-033B156183A4}">
  <sheetPr>
    <tabColor rgb="FFFFFF00"/>
  </sheetPr>
  <dimension ref="A2:R33"/>
  <sheetViews>
    <sheetView workbookViewId="0">
      <selection activeCell="E28" sqref="E28"/>
    </sheetView>
  </sheetViews>
  <sheetFormatPr defaultRowHeight="12.5" x14ac:dyDescent="0.25"/>
  <cols>
    <col min="2" max="2" width="39.453125" bestFit="1" customWidth="1"/>
    <col min="3" max="3" width="23.1796875" bestFit="1" customWidth="1"/>
    <col min="4" max="4" width="14.7265625" customWidth="1"/>
  </cols>
  <sheetData>
    <row r="2" spans="1:18" ht="13" thickBot="1" x14ac:dyDescent="0.3">
      <c r="R2" s="583"/>
    </row>
    <row r="3" spans="1:18" ht="69" customHeight="1" x14ac:dyDescent="0.25">
      <c r="A3" s="41" t="s">
        <v>155</v>
      </c>
      <c r="B3" s="42" t="s">
        <v>156</v>
      </c>
      <c r="C3" s="43" t="s">
        <v>543</v>
      </c>
      <c r="D3" s="43" t="s">
        <v>157</v>
      </c>
      <c r="F3" s="584" t="s">
        <v>48</v>
      </c>
      <c r="G3" s="1051" t="s">
        <v>175</v>
      </c>
      <c r="H3" s="1052"/>
      <c r="I3" s="1052"/>
      <c r="J3" s="1052"/>
      <c r="K3" s="1052"/>
      <c r="L3" s="1052"/>
      <c r="M3" s="1053"/>
      <c r="N3" s="1051" t="s">
        <v>529</v>
      </c>
      <c r="O3" s="1053"/>
      <c r="P3" s="584" t="s">
        <v>530</v>
      </c>
      <c r="Q3" s="585" t="s">
        <v>531</v>
      </c>
      <c r="R3" s="585" t="s">
        <v>544</v>
      </c>
    </row>
    <row r="4" spans="1:18" x14ac:dyDescent="0.25">
      <c r="A4" s="53">
        <v>9257002</v>
      </c>
      <c r="B4" s="44" t="s">
        <v>158</v>
      </c>
      <c r="C4" s="159">
        <f t="shared" ref="C4:C9" si="0">R4</f>
        <v>41</v>
      </c>
      <c r="D4" s="45">
        <f>($C$24*$C$25)*C4</f>
        <v>19241.3</v>
      </c>
      <c r="F4" s="352">
        <v>9257002</v>
      </c>
      <c r="G4" s="1047" t="s">
        <v>532</v>
      </c>
      <c r="H4" s="1048"/>
      <c r="I4" s="1048"/>
      <c r="J4" s="1048"/>
      <c r="K4" s="1048"/>
      <c r="L4" s="1048"/>
      <c r="M4" s="1049"/>
      <c r="N4" s="1050" t="s">
        <v>533</v>
      </c>
      <c r="O4" s="1050"/>
      <c r="P4" s="352">
        <v>157</v>
      </c>
      <c r="Q4" s="352">
        <v>63</v>
      </c>
      <c r="R4" s="586">
        <v>41</v>
      </c>
    </row>
    <row r="5" spans="1:18" x14ac:dyDescent="0.25">
      <c r="A5" s="53">
        <v>9257005</v>
      </c>
      <c r="B5" s="44" t="s">
        <v>159</v>
      </c>
      <c r="C5" s="159">
        <f t="shared" si="0"/>
        <v>28</v>
      </c>
      <c r="D5" s="45">
        <f t="shared" ref="D5:D21" si="1">($C$24*$C$25)*C5</f>
        <v>13140.4</v>
      </c>
      <c r="F5" s="352">
        <v>9257005</v>
      </c>
      <c r="G5" s="1047" t="s">
        <v>259</v>
      </c>
      <c r="H5" s="1048"/>
      <c r="I5" s="1048"/>
      <c r="J5" s="1048"/>
      <c r="K5" s="1048"/>
      <c r="L5" s="1048"/>
      <c r="M5" s="1049"/>
      <c r="N5" s="1050" t="s">
        <v>533</v>
      </c>
      <c r="O5" s="1050"/>
      <c r="P5" s="352">
        <v>89</v>
      </c>
      <c r="Q5" s="352">
        <v>37</v>
      </c>
      <c r="R5" s="586">
        <v>28</v>
      </c>
    </row>
    <row r="6" spans="1:18" x14ac:dyDescent="0.25">
      <c r="A6" s="53">
        <v>9257008</v>
      </c>
      <c r="B6" s="44" t="s">
        <v>126</v>
      </c>
      <c r="C6" s="159">
        <f t="shared" si="0"/>
        <v>26</v>
      </c>
      <c r="D6" s="45">
        <f t="shared" si="1"/>
        <v>12201.800000000001</v>
      </c>
      <c r="F6" s="352">
        <v>9257008</v>
      </c>
      <c r="G6" s="1047" t="s">
        <v>534</v>
      </c>
      <c r="H6" s="1048"/>
      <c r="I6" s="1048"/>
      <c r="J6" s="1048"/>
      <c r="K6" s="1048"/>
      <c r="L6" s="1048"/>
      <c r="M6" s="1049"/>
      <c r="N6" s="1050" t="s">
        <v>533</v>
      </c>
      <c r="O6" s="1050"/>
      <c r="P6" s="352">
        <v>101</v>
      </c>
      <c r="Q6" s="352">
        <v>43</v>
      </c>
      <c r="R6" s="586">
        <v>26</v>
      </c>
    </row>
    <row r="7" spans="1:18" x14ac:dyDescent="0.25">
      <c r="A7" s="53">
        <v>9257009</v>
      </c>
      <c r="B7" s="44" t="s">
        <v>160</v>
      </c>
      <c r="C7" s="159">
        <f t="shared" si="0"/>
        <v>37</v>
      </c>
      <c r="D7" s="45">
        <f t="shared" si="1"/>
        <v>17364.100000000002</v>
      </c>
      <c r="F7" s="352">
        <v>9257009</v>
      </c>
      <c r="G7" s="1047" t="s">
        <v>535</v>
      </c>
      <c r="H7" s="1048"/>
      <c r="I7" s="1048"/>
      <c r="J7" s="1048"/>
      <c r="K7" s="1048"/>
      <c r="L7" s="1048"/>
      <c r="M7" s="1049"/>
      <c r="N7" s="1050" t="s">
        <v>533</v>
      </c>
      <c r="O7" s="1050"/>
      <c r="P7" s="352">
        <v>139</v>
      </c>
      <c r="Q7" s="352">
        <v>61</v>
      </c>
      <c r="R7" s="586">
        <v>37</v>
      </c>
    </row>
    <row r="8" spans="1:18" x14ac:dyDescent="0.25">
      <c r="A8" s="53">
        <v>9257010</v>
      </c>
      <c r="B8" s="44" t="s">
        <v>161</v>
      </c>
      <c r="C8" s="159">
        <f t="shared" si="0"/>
        <v>40</v>
      </c>
      <c r="D8" s="45">
        <f t="shared" si="1"/>
        <v>18772</v>
      </c>
      <c r="F8" s="352">
        <v>9257010</v>
      </c>
      <c r="G8" s="1047" t="s">
        <v>536</v>
      </c>
      <c r="H8" s="1048"/>
      <c r="I8" s="1048"/>
      <c r="J8" s="1048"/>
      <c r="K8" s="1048"/>
      <c r="L8" s="1048"/>
      <c r="M8" s="1049"/>
      <c r="N8" s="1050" t="s">
        <v>533</v>
      </c>
      <c r="O8" s="1050"/>
      <c r="P8" s="352">
        <v>101</v>
      </c>
      <c r="Q8" s="352">
        <v>40</v>
      </c>
      <c r="R8" s="586">
        <v>40</v>
      </c>
    </row>
    <row r="9" spans="1:18" x14ac:dyDescent="0.25">
      <c r="A9" s="53">
        <v>9257011</v>
      </c>
      <c r="B9" s="44" t="s">
        <v>162</v>
      </c>
      <c r="C9" s="159">
        <f t="shared" si="0"/>
        <v>32</v>
      </c>
      <c r="D9" s="45">
        <f t="shared" si="1"/>
        <v>15017.6</v>
      </c>
      <c r="F9" s="352">
        <v>9257011</v>
      </c>
      <c r="G9" s="1047" t="s">
        <v>537</v>
      </c>
      <c r="H9" s="1048"/>
      <c r="I9" s="1048"/>
      <c r="J9" s="1048"/>
      <c r="K9" s="1048"/>
      <c r="L9" s="1048"/>
      <c r="M9" s="1049"/>
      <c r="N9" s="1050" t="s">
        <v>533</v>
      </c>
      <c r="O9" s="1050"/>
      <c r="P9" s="352">
        <v>62</v>
      </c>
      <c r="Q9" s="352">
        <v>30</v>
      </c>
      <c r="R9" s="586">
        <v>32</v>
      </c>
    </row>
    <row r="10" spans="1:18" x14ac:dyDescent="0.25">
      <c r="A10" s="53">
        <v>9257015</v>
      </c>
      <c r="B10" s="44" t="s">
        <v>163</v>
      </c>
      <c r="C10" s="159">
        <f t="shared" ref="C10:C21" si="2">R10</f>
        <v>73</v>
      </c>
      <c r="D10" s="45">
        <f t="shared" si="1"/>
        <v>34258.9</v>
      </c>
      <c r="F10" s="352">
        <v>9257015</v>
      </c>
      <c r="G10" s="1047" t="s">
        <v>72</v>
      </c>
      <c r="H10" s="1048"/>
      <c r="I10" s="1048"/>
      <c r="J10" s="1048"/>
      <c r="K10" s="1048"/>
      <c r="L10" s="1048"/>
      <c r="M10" s="1049"/>
      <c r="N10" s="1050" t="s">
        <v>533</v>
      </c>
      <c r="O10" s="1050"/>
      <c r="P10" s="352">
        <v>224</v>
      </c>
      <c r="Q10" s="352">
        <v>105</v>
      </c>
      <c r="R10" s="586">
        <v>73</v>
      </c>
    </row>
    <row r="11" spans="1:18" x14ac:dyDescent="0.25">
      <c r="A11" s="53">
        <v>9257016</v>
      </c>
      <c r="B11" s="44" t="s">
        <v>164</v>
      </c>
      <c r="C11" s="159">
        <f t="shared" si="2"/>
        <v>47</v>
      </c>
      <c r="D11" s="45">
        <f t="shared" si="1"/>
        <v>22057.100000000002</v>
      </c>
      <c r="F11" s="352">
        <v>9257016</v>
      </c>
      <c r="G11" s="1047" t="s">
        <v>538</v>
      </c>
      <c r="H11" s="1048"/>
      <c r="I11" s="1048"/>
      <c r="J11" s="1048"/>
      <c r="K11" s="1048"/>
      <c r="L11" s="1048"/>
      <c r="M11" s="1049"/>
      <c r="N11" s="1050" t="s">
        <v>533</v>
      </c>
      <c r="O11" s="1050"/>
      <c r="P11" s="352">
        <v>163</v>
      </c>
      <c r="Q11" s="352">
        <v>62</v>
      </c>
      <c r="R11" s="586">
        <v>47</v>
      </c>
    </row>
    <row r="12" spans="1:18" x14ac:dyDescent="0.25">
      <c r="A12" s="53">
        <v>9257021</v>
      </c>
      <c r="B12" s="44" t="s">
        <v>165</v>
      </c>
      <c r="C12" s="159">
        <f t="shared" si="2"/>
        <v>54</v>
      </c>
      <c r="D12" s="45">
        <f t="shared" si="1"/>
        <v>25342.2</v>
      </c>
      <c r="F12" s="352">
        <v>9257021</v>
      </c>
      <c r="G12" s="1047" t="s">
        <v>263</v>
      </c>
      <c r="H12" s="1048"/>
      <c r="I12" s="1048"/>
      <c r="J12" s="1048"/>
      <c r="K12" s="1048"/>
      <c r="L12" s="1048"/>
      <c r="M12" s="1049"/>
      <c r="N12" s="1050" t="s">
        <v>533</v>
      </c>
      <c r="O12" s="1050"/>
      <c r="P12" s="352">
        <v>178</v>
      </c>
      <c r="Q12" s="352">
        <v>90</v>
      </c>
      <c r="R12" s="586">
        <v>54</v>
      </c>
    </row>
    <row r="13" spans="1:18" x14ac:dyDescent="0.25">
      <c r="A13" s="53">
        <v>9257024</v>
      </c>
      <c r="B13" s="44" t="s">
        <v>166</v>
      </c>
      <c r="C13" s="159">
        <f t="shared" si="2"/>
        <v>35</v>
      </c>
      <c r="D13" s="45">
        <f t="shared" si="1"/>
        <v>16425.5</v>
      </c>
      <c r="F13" s="352">
        <v>9257024</v>
      </c>
      <c r="G13" s="1047" t="s">
        <v>166</v>
      </c>
      <c r="H13" s="1048"/>
      <c r="I13" s="1048"/>
      <c r="J13" s="1048"/>
      <c r="K13" s="1048"/>
      <c r="L13" s="1048"/>
      <c r="M13" s="1049"/>
      <c r="N13" s="1050" t="s">
        <v>533</v>
      </c>
      <c r="O13" s="1050"/>
      <c r="P13" s="352">
        <v>85</v>
      </c>
      <c r="Q13" s="352">
        <v>35</v>
      </c>
      <c r="R13" s="586">
        <v>35</v>
      </c>
    </row>
    <row r="14" spans="1:18" x14ac:dyDescent="0.25">
      <c r="A14" s="53">
        <v>9257025</v>
      </c>
      <c r="B14" s="44" t="s">
        <v>167</v>
      </c>
      <c r="C14" s="159">
        <f t="shared" si="2"/>
        <v>27</v>
      </c>
      <c r="D14" s="45">
        <f t="shared" si="1"/>
        <v>12671.1</v>
      </c>
      <c r="F14" s="352">
        <v>9257025</v>
      </c>
      <c r="G14" s="1047" t="s">
        <v>539</v>
      </c>
      <c r="H14" s="1048"/>
      <c r="I14" s="1048"/>
      <c r="J14" s="1048"/>
      <c r="K14" s="1048"/>
      <c r="L14" s="1048"/>
      <c r="M14" s="1049"/>
      <c r="N14" s="1050" t="s">
        <v>533</v>
      </c>
      <c r="O14" s="1050"/>
      <c r="P14" s="352">
        <v>82</v>
      </c>
      <c r="Q14" s="352">
        <v>39</v>
      </c>
      <c r="R14" s="586">
        <v>27</v>
      </c>
    </row>
    <row r="15" spans="1:18" x14ac:dyDescent="0.25">
      <c r="A15" s="53">
        <v>9257028</v>
      </c>
      <c r="B15" s="44" t="s">
        <v>168</v>
      </c>
      <c r="C15" s="159">
        <f t="shared" si="2"/>
        <v>26</v>
      </c>
      <c r="D15" s="45">
        <f t="shared" si="1"/>
        <v>12201.800000000001</v>
      </c>
      <c r="F15" s="352">
        <v>9257028</v>
      </c>
      <c r="G15" s="1047" t="s">
        <v>540</v>
      </c>
      <c r="H15" s="1048"/>
      <c r="I15" s="1048"/>
      <c r="J15" s="1048"/>
      <c r="K15" s="1048"/>
      <c r="L15" s="1048"/>
      <c r="M15" s="1049"/>
      <c r="N15" s="1050" t="s">
        <v>533</v>
      </c>
      <c r="O15" s="1050"/>
      <c r="P15" s="352">
        <v>127</v>
      </c>
      <c r="Q15" s="352">
        <v>37</v>
      </c>
      <c r="R15" s="586">
        <v>26</v>
      </c>
    </row>
    <row r="16" spans="1:18" x14ac:dyDescent="0.25">
      <c r="A16" s="53">
        <v>9257029</v>
      </c>
      <c r="B16" s="44" t="s">
        <v>278</v>
      </c>
      <c r="C16" s="159">
        <f t="shared" si="2"/>
        <v>32</v>
      </c>
      <c r="D16" s="45">
        <f t="shared" si="1"/>
        <v>15017.6</v>
      </c>
      <c r="F16" s="352">
        <v>9257029</v>
      </c>
      <c r="G16" s="1047" t="s">
        <v>278</v>
      </c>
      <c r="H16" s="1048"/>
      <c r="I16" s="1048"/>
      <c r="J16" s="1048"/>
      <c r="K16" s="1048"/>
      <c r="L16" s="1048"/>
      <c r="M16" s="1049"/>
      <c r="N16" s="1050" t="s">
        <v>533</v>
      </c>
      <c r="O16" s="1050"/>
      <c r="P16" s="352">
        <v>75</v>
      </c>
      <c r="Q16" s="352">
        <v>36</v>
      </c>
      <c r="R16" s="586">
        <v>32</v>
      </c>
    </row>
    <row r="17" spans="1:18" x14ac:dyDescent="0.25">
      <c r="A17" s="53">
        <v>9257030</v>
      </c>
      <c r="B17" s="44" t="s">
        <v>268</v>
      </c>
      <c r="C17" s="159">
        <f t="shared" si="2"/>
        <v>35</v>
      </c>
      <c r="D17" s="45">
        <f t="shared" si="1"/>
        <v>16425.5</v>
      </c>
      <c r="F17" s="352">
        <v>9257030</v>
      </c>
      <c r="G17" s="1047" t="s">
        <v>268</v>
      </c>
      <c r="H17" s="1048"/>
      <c r="I17" s="1048"/>
      <c r="J17" s="1048"/>
      <c r="K17" s="1048"/>
      <c r="L17" s="1048"/>
      <c r="M17" s="1049"/>
      <c r="N17" s="1050" t="s">
        <v>533</v>
      </c>
      <c r="O17" s="1050"/>
      <c r="P17" s="352">
        <v>70</v>
      </c>
      <c r="Q17" s="352">
        <v>35</v>
      </c>
      <c r="R17" s="586">
        <v>35</v>
      </c>
    </row>
    <row r="18" spans="1:18" x14ac:dyDescent="0.25">
      <c r="A18" s="53">
        <v>9257031</v>
      </c>
      <c r="B18" s="44" t="s">
        <v>169</v>
      </c>
      <c r="C18" s="159">
        <f t="shared" si="2"/>
        <v>42</v>
      </c>
      <c r="D18" s="45">
        <f t="shared" si="1"/>
        <v>19710.600000000002</v>
      </c>
      <c r="F18" s="352">
        <v>9257031</v>
      </c>
      <c r="G18" s="1047" t="s">
        <v>169</v>
      </c>
      <c r="H18" s="1048"/>
      <c r="I18" s="1048"/>
      <c r="J18" s="1048"/>
      <c r="K18" s="1048"/>
      <c r="L18" s="1048"/>
      <c r="M18" s="1049"/>
      <c r="N18" s="1050" t="s">
        <v>533</v>
      </c>
      <c r="O18" s="1050"/>
      <c r="P18" s="352">
        <v>81</v>
      </c>
      <c r="Q18" s="352">
        <v>46</v>
      </c>
      <c r="R18" s="586">
        <v>42</v>
      </c>
    </row>
    <row r="19" spans="1:18" x14ac:dyDescent="0.25">
      <c r="A19" s="53">
        <v>9257032</v>
      </c>
      <c r="B19" s="44" t="s">
        <v>458</v>
      </c>
      <c r="C19" s="159">
        <f t="shared" si="2"/>
        <v>47</v>
      </c>
      <c r="D19" s="45">
        <f t="shared" si="1"/>
        <v>22057.100000000002</v>
      </c>
      <c r="F19" s="352">
        <v>9257032</v>
      </c>
      <c r="G19" s="1047" t="s">
        <v>266</v>
      </c>
      <c r="H19" s="1048"/>
      <c r="I19" s="1048"/>
      <c r="J19" s="1048"/>
      <c r="K19" s="1048"/>
      <c r="L19" s="1048"/>
      <c r="M19" s="1049"/>
      <c r="N19" s="1050" t="s">
        <v>533</v>
      </c>
      <c r="O19" s="1050"/>
      <c r="P19" s="352">
        <v>100</v>
      </c>
      <c r="Q19" s="352">
        <v>46</v>
      </c>
      <c r="R19" s="586">
        <v>47</v>
      </c>
    </row>
    <row r="20" spans="1:18" x14ac:dyDescent="0.25">
      <c r="A20" s="53">
        <v>9257033</v>
      </c>
      <c r="B20" s="44" t="s">
        <v>170</v>
      </c>
      <c r="C20" s="159">
        <f>R20</f>
        <v>52</v>
      </c>
      <c r="D20" s="45">
        <f t="shared" si="1"/>
        <v>24403.600000000002</v>
      </c>
      <c r="F20" s="352">
        <v>9257033</v>
      </c>
      <c r="G20" s="1047" t="s">
        <v>541</v>
      </c>
      <c r="H20" s="1048"/>
      <c r="I20" s="1048"/>
      <c r="J20" s="1048"/>
      <c r="K20" s="1048"/>
      <c r="L20" s="1048"/>
      <c r="M20" s="1049"/>
      <c r="N20" s="1050" t="s">
        <v>533</v>
      </c>
      <c r="O20" s="1050"/>
      <c r="P20" s="352">
        <v>112</v>
      </c>
      <c r="Q20" s="352">
        <v>66</v>
      </c>
      <c r="R20" s="586">
        <v>52</v>
      </c>
    </row>
    <row r="21" spans="1:18" ht="13" thickBot="1" x14ac:dyDescent="0.3">
      <c r="A21" s="54">
        <v>9257034</v>
      </c>
      <c r="B21" s="46" t="s">
        <v>171</v>
      </c>
      <c r="C21" s="159">
        <f t="shared" si="2"/>
        <v>54</v>
      </c>
      <c r="D21" s="47">
        <f t="shared" si="1"/>
        <v>25342.2</v>
      </c>
      <c r="F21" s="352">
        <v>9257034</v>
      </c>
      <c r="G21" s="1047" t="s">
        <v>542</v>
      </c>
      <c r="H21" s="1048"/>
      <c r="I21" s="1048"/>
      <c r="J21" s="1048"/>
      <c r="K21" s="1048"/>
      <c r="L21" s="1048"/>
      <c r="M21" s="1049"/>
      <c r="N21" s="1050" t="s">
        <v>533</v>
      </c>
      <c r="O21" s="1050"/>
      <c r="P21" s="352">
        <v>124</v>
      </c>
      <c r="Q21" s="352">
        <v>58</v>
      </c>
      <c r="R21" s="586">
        <v>54</v>
      </c>
    </row>
    <row r="22" spans="1:18" x14ac:dyDescent="0.25">
      <c r="A22" s="48"/>
      <c r="B22" s="49"/>
      <c r="C22" s="48"/>
      <c r="D22" s="50"/>
      <c r="F22" s="352">
        <v>9257012</v>
      </c>
      <c r="G22" s="1047" t="s">
        <v>545</v>
      </c>
      <c r="H22" s="1048"/>
      <c r="I22" s="1048"/>
      <c r="J22" s="1048"/>
      <c r="K22" s="1048"/>
      <c r="L22" s="1048"/>
      <c r="M22" s="1049"/>
      <c r="N22" s="1050" t="s">
        <v>533</v>
      </c>
      <c r="O22" s="1050"/>
      <c r="P22" s="352">
        <v>18</v>
      </c>
      <c r="Q22" s="352">
        <v>7</v>
      </c>
      <c r="R22" s="586">
        <v>11</v>
      </c>
    </row>
    <row r="23" spans="1:18" ht="13" thickBot="1" x14ac:dyDescent="0.3">
      <c r="A23" s="48"/>
      <c r="B23" s="49"/>
      <c r="C23" s="48"/>
      <c r="D23" s="52">
        <f>SUM(D4:D21)</f>
        <v>341650.39999999997</v>
      </c>
    </row>
    <row r="24" spans="1:18" x14ac:dyDescent="0.25">
      <c r="A24" s="48"/>
      <c r="B24" s="51" t="s">
        <v>172</v>
      </c>
      <c r="C24" s="590">
        <v>2.4700000000000002</v>
      </c>
      <c r="D24" s="49"/>
    </row>
    <row r="25" spans="1:18" x14ac:dyDescent="0.25">
      <c r="A25" s="48"/>
      <c r="B25" s="51" t="s">
        <v>173</v>
      </c>
      <c r="C25" s="163">
        <v>190</v>
      </c>
      <c r="D25" s="49"/>
    </row>
    <row r="26" spans="1:18" x14ac:dyDescent="0.25">
      <c r="A26" s="48"/>
      <c r="B26" s="49"/>
      <c r="C26" s="48"/>
      <c r="D26" s="49"/>
    </row>
    <row r="28" spans="1:18" x14ac:dyDescent="0.25">
      <c r="C28" s="109" t="s">
        <v>548</v>
      </c>
      <c r="D28" s="7" t="e">
        <f>SUM(#REF!)</f>
        <v>#REF!</v>
      </c>
    </row>
    <row r="29" spans="1:18" x14ac:dyDescent="0.25">
      <c r="C29" s="2"/>
      <c r="D29" s="7"/>
    </row>
    <row r="30" spans="1:18" x14ac:dyDescent="0.25">
      <c r="C30" s="109" t="s">
        <v>174</v>
      </c>
      <c r="D30" s="7" t="e">
        <f>D23-D28</f>
        <v>#REF!</v>
      </c>
    </row>
    <row r="33" spans="2:2" x14ac:dyDescent="0.25">
      <c r="B33" s="58"/>
    </row>
  </sheetData>
  <mergeCells count="40">
    <mergeCell ref="G16:M16"/>
    <mergeCell ref="N16:O16"/>
    <mergeCell ref="G20:M20"/>
    <mergeCell ref="N20:O20"/>
    <mergeCell ref="G21:M21"/>
    <mergeCell ref="N21:O21"/>
    <mergeCell ref="G17:M17"/>
    <mergeCell ref="N17:O17"/>
    <mergeCell ref="G18:M18"/>
    <mergeCell ref="N18:O18"/>
    <mergeCell ref="G19:M19"/>
    <mergeCell ref="N19:O19"/>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6:M6"/>
    <mergeCell ref="N6:O6"/>
    <mergeCell ref="G7:M7"/>
    <mergeCell ref="N7:O7"/>
    <mergeCell ref="G8:M8"/>
    <mergeCell ref="N8:O8"/>
    <mergeCell ref="G3:M3"/>
    <mergeCell ref="N3:O3"/>
    <mergeCell ref="G4:M4"/>
    <mergeCell ref="N4:O4"/>
    <mergeCell ref="G5:M5"/>
    <mergeCell ref="N5:O5"/>
  </mergeCells>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0C44-B4FA-444F-BB30-D93F81CEC804}">
  <sheetPr>
    <tabColor theme="4" tint="0.39997558519241921"/>
  </sheetPr>
  <dimension ref="A2:Z64"/>
  <sheetViews>
    <sheetView topLeftCell="H1" workbookViewId="0">
      <selection activeCell="U20" sqref="U20"/>
    </sheetView>
  </sheetViews>
  <sheetFormatPr defaultColWidth="9.1796875" defaultRowHeight="15.5" x14ac:dyDescent="0.35"/>
  <cols>
    <col min="1" max="1" width="10.54296875" style="27" bestFit="1" customWidth="1"/>
    <col min="2" max="5" width="9.1796875" style="26"/>
    <col min="6" max="8" width="9.1796875" style="28"/>
    <col min="9" max="9" width="9.81640625" style="28" bestFit="1" customWidth="1"/>
    <col min="10" max="10" width="13" style="28" customWidth="1"/>
    <col min="11" max="14" width="9.81640625" style="28" customWidth="1"/>
    <col min="15" max="15" width="12.54296875" style="28" customWidth="1"/>
    <col min="16" max="16" width="9.81640625" style="28" customWidth="1"/>
    <col min="17" max="17" width="77.453125" style="28" customWidth="1"/>
    <col min="18" max="18" width="9.1796875" style="28"/>
    <col min="19" max="21" width="9.1796875" style="640"/>
    <col min="22" max="22" width="14.81640625" style="640" customWidth="1"/>
    <col min="23" max="16384" width="9.1796875" style="28"/>
  </cols>
  <sheetData>
    <row r="2" spans="1:26" ht="12" customHeight="1" x14ac:dyDescent="0.35">
      <c r="A2" s="103"/>
      <c r="B2" s="25" t="s">
        <v>120</v>
      </c>
      <c r="C2" s="621"/>
      <c r="D2" s="621"/>
      <c r="E2" s="621"/>
    </row>
    <row r="3" spans="1:26" ht="12" customHeight="1" x14ac:dyDescent="0.35">
      <c r="A3" s="103"/>
      <c r="B3" s="621"/>
      <c r="C3" s="621"/>
      <c r="D3" s="621"/>
      <c r="E3" s="621"/>
    </row>
    <row r="4" spans="1:26" s="29" customFormat="1" ht="12" customHeight="1" x14ac:dyDescent="0.3">
      <c r="A4" s="103"/>
      <c r="B4" s="621"/>
      <c r="C4" s="621"/>
      <c r="D4" s="621"/>
      <c r="E4" s="621"/>
      <c r="G4" s="1067" t="s">
        <v>549</v>
      </c>
      <c r="H4" s="1063" t="s">
        <v>550</v>
      </c>
      <c r="I4" s="1063" t="s">
        <v>551</v>
      </c>
      <c r="J4" s="1063" t="s">
        <v>121</v>
      </c>
      <c r="K4" s="622"/>
      <c r="L4" s="1067" t="s">
        <v>552</v>
      </c>
      <c r="M4" s="1063" t="s">
        <v>553</v>
      </c>
      <c r="N4" s="1063" t="s">
        <v>554</v>
      </c>
      <c r="O4" s="1063" t="s">
        <v>121</v>
      </c>
      <c r="P4" s="622"/>
      <c r="S4" s="1067" t="s">
        <v>555</v>
      </c>
      <c r="T4" s="1063" t="s">
        <v>556</v>
      </c>
      <c r="U4" s="1063" t="s">
        <v>557</v>
      </c>
      <c r="V4" s="1063" t="s">
        <v>121</v>
      </c>
    </row>
    <row r="5" spans="1:26" s="29" customFormat="1" ht="12" customHeight="1" x14ac:dyDescent="0.3">
      <c r="A5" s="103"/>
      <c r="B5" s="621"/>
      <c r="C5" s="621"/>
      <c r="D5" s="621"/>
      <c r="E5" s="621"/>
      <c r="G5" s="1067"/>
      <c r="H5" s="1063"/>
      <c r="I5" s="1063"/>
      <c r="J5" s="1063"/>
      <c r="K5" s="622"/>
      <c r="L5" s="1067"/>
      <c r="M5" s="1063"/>
      <c r="N5" s="1063"/>
      <c r="O5" s="1063"/>
      <c r="P5" s="622"/>
      <c r="S5" s="1067"/>
      <c r="T5" s="1063"/>
      <c r="U5" s="1063"/>
      <c r="V5" s="1063"/>
    </row>
    <row r="6" spans="1:26" s="29" customFormat="1" ht="12" customHeight="1" x14ac:dyDescent="0.3">
      <c r="A6" s="103"/>
      <c r="B6" s="1064" t="s">
        <v>122</v>
      </c>
      <c r="C6" s="1065"/>
      <c r="D6" s="1065"/>
      <c r="E6" s="1066"/>
      <c r="G6" s="1067"/>
      <c r="H6" s="1063"/>
      <c r="I6" s="1063"/>
      <c r="J6" s="1063"/>
      <c r="K6" s="622"/>
      <c r="L6" s="1067"/>
      <c r="M6" s="1063"/>
      <c r="N6" s="1063"/>
      <c r="O6" s="1063"/>
      <c r="P6" s="622"/>
      <c r="S6" s="1067"/>
      <c r="T6" s="1063"/>
      <c r="U6" s="1063"/>
      <c r="V6" s="1063"/>
    </row>
    <row r="7" spans="1:26" ht="12" customHeight="1" x14ac:dyDescent="0.35">
      <c r="A7" s="623">
        <v>9257010</v>
      </c>
      <c r="B7" s="1061" t="s">
        <v>123</v>
      </c>
      <c r="C7" s="1062"/>
      <c r="D7" s="1062"/>
      <c r="E7" s="1062"/>
      <c r="G7" s="588">
        <f>35258</f>
        <v>35258</v>
      </c>
      <c r="H7" s="588"/>
      <c r="I7" s="588"/>
      <c r="J7" s="588">
        <f t="shared" ref="J7:J26" si="0">SUM(G7:I7)</f>
        <v>35258</v>
      </c>
      <c r="K7" s="626"/>
      <c r="L7" s="588">
        <f>35258</f>
        <v>35258</v>
      </c>
      <c r="M7" s="588"/>
      <c r="N7" s="588"/>
      <c r="O7" s="588">
        <f t="shared" ref="O7:O25" si="1">SUM(L7:N7)</f>
        <v>35258</v>
      </c>
      <c r="P7" s="626"/>
      <c r="S7" s="588">
        <f>35258</f>
        <v>35258</v>
      </c>
      <c r="T7" s="588"/>
      <c r="U7" s="588"/>
      <c r="V7" s="588">
        <f t="shared" ref="V7:V25" si="2">SUM(S7:U7)</f>
        <v>35258</v>
      </c>
    </row>
    <row r="8" spans="1:26" ht="12" customHeight="1" x14ac:dyDescent="0.35">
      <c r="A8" s="623">
        <v>9257030</v>
      </c>
      <c r="B8" s="1061" t="s">
        <v>124</v>
      </c>
      <c r="C8" s="1062"/>
      <c r="D8" s="1062"/>
      <c r="E8" s="1062"/>
      <c r="G8" s="588"/>
      <c r="H8" s="588"/>
      <c r="I8" s="588"/>
      <c r="J8" s="588">
        <f t="shared" si="0"/>
        <v>0</v>
      </c>
      <c r="K8" s="626"/>
      <c r="L8" s="588"/>
      <c r="M8" s="588"/>
      <c r="N8" s="588"/>
      <c r="O8" s="588">
        <f t="shared" si="1"/>
        <v>0</v>
      </c>
      <c r="P8" s="626"/>
      <c r="S8" s="588"/>
      <c r="T8" s="588"/>
      <c r="U8" s="588"/>
      <c r="V8" s="588">
        <f t="shared" si="2"/>
        <v>0</v>
      </c>
    </row>
    <row r="9" spans="1:26" ht="12" customHeight="1" x14ac:dyDescent="0.35">
      <c r="A9" s="623">
        <v>9257031</v>
      </c>
      <c r="B9" s="1061" t="s">
        <v>125</v>
      </c>
      <c r="C9" s="1062"/>
      <c r="D9" s="1062"/>
      <c r="E9" s="1062"/>
      <c r="G9" s="588"/>
      <c r="H9" s="588"/>
      <c r="I9" s="588"/>
      <c r="J9" s="588">
        <f t="shared" si="0"/>
        <v>0</v>
      </c>
      <c r="K9" s="626"/>
      <c r="L9" s="588"/>
      <c r="M9" s="588"/>
      <c r="N9" s="588"/>
      <c r="O9" s="588">
        <f t="shared" si="1"/>
        <v>0</v>
      </c>
      <c r="P9" s="626"/>
      <c r="S9" s="588"/>
      <c r="T9" s="588"/>
      <c r="U9" s="588"/>
      <c r="V9" s="588">
        <f t="shared" si="2"/>
        <v>0</v>
      </c>
    </row>
    <row r="10" spans="1:26" ht="60.65" customHeight="1" x14ac:dyDescent="0.35">
      <c r="A10" s="623">
        <v>9257008</v>
      </c>
      <c r="B10" s="1061" t="s">
        <v>126</v>
      </c>
      <c r="C10" s="1062"/>
      <c r="D10" s="1062"/>
      <c r="E10" s="1062"/>
      <c r="G10" s="588"/>
      <c r="H10" s="588">
        <f>617500</f>
        <v>617500</v>
      </c>
      <c r="I10" s="588"/>
      <c r="J10" s="588">
        <f t="shared" si="0"/>
        <v>617500</v>
      </c>
      <c r="K10" s="626"/>
      <c r="L10" s="588"/>
      <c r="M10" s="635">
        <f>617500</f>
        <v>617500</v>
      </c>
      <c r="N10" s="588"/>
      <c r="O10" s="588">
        <f t="shared" si="1"/>
        <v>617500</v>
      </c>
      <c r="P10" s="626"/>
      <c r="Q10" s="587" t="s">
        <v>558</v>
      </c>
      <c r="R10" s="587"/>
      <c r="S10" s="588"/>
      <c r="T10" s="588">
        <f>617500</f>
        <v>617500</v>
      </c>
      <c r="U10" s="588"/>
      <c r="V10" s="588">
        <f t="shared" si="2"/>
        <v>617500</v>
      </c>
      <c r="W10" s="587"/>
      <c r="X10" s="587"/>
      <c r="Y10" s="587"/>
      <c r="Z10" s="587"/>
    </row>
    <row r="11" spans="1:26" ht="12" customHeight="1" x14ac:dyDescent="0.35">
      <c r="A11" s="623">
        <v>9257002</v>
      </c>
      <c r="B11" s="1061" t="s">
        <v>127</v>
      </c>
      <c r="C11" s="1062"/>
      <c r="D11" s="1062"/>
      <c r="E11" s="1062"/>
      <c r="G11" s="588"/>
      <c r="H11" s="588"/>
      <c r="I11" s="588"/>
      <c r="J11" s="588">
        <f t="shared" si="0"/>
        <v>0</v>
      </c>
      <c r="K11" s="626"/>
      <c r="L11" s="588"/>
      <c r="M11" s="588"/>
      <c r="N11" s="588"/>
      <c r="O11" s="588">
        <f t="shared" si="1"/>
        <v>0</v>
      </c>
      <c r="P11" s="626"/>
      <c r="S11" s="588"/>
      <c r="T11" s="588"/>
      <c r="U11" s="588"/>
      <c r="V11" s="588">
        <f t="shared" si="2"/>
        <v>0</v>
      </c>
    </row>
    <row r="12" spans="1:26" ht="12" customHeight="1" x14ac:dyDescent="0.35">
      <c r="A12" s="623">
        <v>9257005</v>
      </c>
      <c r="B12" s="1061" t="s">
        <v>128</v>
      </c>
      <c r="C12" s="1062"/>
      <c r="D12" s="1062"/>
      <c r="E12" s="1062"/>
      <c r="G12" s="588">
        <f>35258</f>
        <v>35258</v>
      </c>
      <c r="H12" s="588"/>
      <c r="I12" s="588"/>
      <c r="J12" s="588">
        <f t="shared" si="0"/>
        <v>35258</v>
      </c>
      <c r="K12" s="626"/>
      <c r="L12" s="588">
        <f>35258</f>
        <v>35258</v>
      </c>
      <c r="M12" s="588"/>
      <c r="N12" s="588"/>
      <c r="O12" s="588">
        <f t="shared" si="1"/>
        <v>35258</v>
      </c>
      <c r="P12" s="626"/>
      <c r="S12" s="588">
        <f>35258</f>
        <v>35258</v>
      </c>
      <c r="T12" s="588"/>
      <c r="U12" s="588"/>
      <c r="V12" s="588">
        <f t="shared" si="2"/>
        <v>35258</v>
      </c>
    </row>
    <row r="13" spans="1:26" ht="12" customHeight="1" x14ac:dyDescent="0.35">
      <c r="A13" s="623">
        <v>9257034</v>
      </c>
      <c r="B13" s="1061" t="s">
        <v>129</v>
      </c>
      <c r="C13" s="1062"/>
      <c r="D13" s="1062"/>
      <c r="E13" s="1062"/>
      <c r="G13" s="588"/>
      <c r="H13" s="588"/>
      <c r="I13" s="588"/>
      <c r="J13" s="588">
        <f t="shared" si="0"/>
        <v>0</v>
      </c>
      <c r="K13" s="626"/>
      <c r="L13" s="588"/>
      <c r="M13" s="588"/>
      <c r="N13" s="588"/>
      <c r="O13" s="588">
        <f t="shared" si="1"/>
        <v>0</v>
      </c>
      <c r="P13" s="626"/>
      <c r="S13" s="588"/>
      <c r="T13" s="588"/>
      <c r="U13" s="588"/>
      <c r="V13" s="588">
        <f t="shared" si="2"/>
        <v>0</v>
      </c>
    </row>
    <row r="14" spans="1:26" ht="12" customHeight="1" x14ac:dyDescent="0.35">
      <c r="A14" s="623">
        <v>9257021</v>
      </c>
      <c r="B14" s="1061" t="s">
        <v>130</v>
      </c>
      <c r="C14" s="1062"/>
      <c r="D14" s="1062"/>
      <c r="E14" s="1062"/>
      <c r="G14" s="588">
        <f>35258</f>
        <v>35258</v>
      </c>
      <c r="H14" s="588"/>
      <c r="I14" s="588"/>
      <c r="J14" s="588">
        <f t="shared" si="0"/>
        <v>35258</v>
      </c>
      <c r="K14" s="626"/>
      <c r="L14" s="588">
        <f>35258</f>
        <v>35258</v>
      </c>
      <c r="M14" s="588"/>
      <c r="N14" s="588"/>
      <c r="O14" s="588">
        <f t="shared" si="1"/>
        <v>35258</v>
      </c>
      <c r="P14" s="626"/>
      <c r="S14" s="588">
        <f>35258</f>
        <v>35258</v>
      </c>
      <c r="T14" s="588"/>
      <c r="U14" s="588"/>
      <c r="V14" s="588">
        <f t="shared" si="2"/>
        <v>35258</v>
      </c>
    </row>
    <row r="15" spans="1:26" s="26" customFormat="1" ht="12" customHeight="1" x14ac:dyDescent="0.25">
      <c r="A15" s="623">
        <v>9257033</v>
      </c>
      <c r="B15" s="1061" t="s">
        <v>131</v>
      </c>
      <c r="C15" s="1062"/>
      <c r="D15" s="1062"/>
      <c r="E15" s="1062"/>
      <c r="F15" s="621"/>
      <c r="G15" s="588"/>
      <c r="H15" s="588"/>
      <c r="I15" s="588"/>
      <c r="J15" s="588">
        <f t="shared" si="0"/>
        <v>0</v>
      </c>
      <c r="K15" s="626"/>
      <c r="L15" s="588"/>
      <c r="M15" s="588"/>
      <c r="N15" s="588"/>
      <c r="O15" s="588">
        <f t="shared" si="1"/>
        <v>0</v>
      </c>
      <c r="P15" s="626"/>
      <c r="Q15" s="621"/>
      <c r="R15" s="621"/>
      <c r="S15" s="588"/>
      <c r="T15" s="588"/>
      <c r="U15" s="588"/>
      <c r="V15" s="588">
        <f t="shared" si="2"/>
        <v>0</v>
      </c>
      <c r="W15" s="621"/>
      <c r="X15" s="621"/>
      <c r="Y15" s="621"/>
      <c r="Z15" s="621"/>
    </row>
    <row r="16" spans="1:26" s="26" customFormat="1" ht="12" customHeight="1" x14ac:dyDescent="0.25">
      <c r="A16" s="623">
        <v>9257017</v>
      </c>
      <c r="B16" s="1061" t="s">
        <v>132</v>
      </c>
      <c r="C16" s="1062"/>
      <c r="D16" s="1062"/>
      <c r="E16" s="1062"/>
      <c r="F16" s="621"/>
      <c r="G16" s="588"/>
      <c r="H16" s="588"/>
      <c r="I16" s="588"/>
      <c r="J16" s="588">
        <f t="shared" si="0"/>
        <v>0</v>
      </c>
      <c r="K16" s="626"/>
      <c r="L16" s="588"/>
      <c r="M16" s="588"/>
      <c r="N16" s="588"/>
      <c r="O16" s="588">
        <f t="shared" si="1"/>
        <v>0</v>
      </c>
      <c r="P16" s="626"/>
      <c r="Q16" s="621"/>
      <c r="R16" s="621"/>
      <c r="S16" s="588"/>
      <c r="T16" s="588"/>
      <c r="U16" s="588"/>
      <c r="V16" s="588">
        <f t="shared" si="2"/>
        <v>0</v>
      </c>
      <c r="W16" s="621"/>
      <c r="X16" s="621"/>
      <c r="Y16" s="621"/>
      <c r="Z16" s="621"/>
    </row>
    <row r="17" spans="1:22" ht="12" customHeight="1" x14ac:dyDescent="0.35">
      <c r="A17" s="623">
        <v>9257015</v>
      </c>
      <c r="B17" s="1061" t="s">
        <v>133</v>
      </c>
      <c r="C17" s="1062"/>
      <c r="D17" s="1062"/>
      <c r="E17" s="1062"/>
      <c r="G17" s="588">
        <f>35258</f>
        <v>35258</v>
      </c>
      <c r="H17" s="588"/>
      <c r="I17" s="588"/>
      <c r="J17" s="588">
        <f t="shared" si="0"/>
        <v>35258</v>
      </c>
      <c r="K17" s="626"/>
      <c r="L17" s="588">
        <f>35258</f>
        <v>35258</v>
      </c>
      <c r="M17" s="588"/>
      <c r="N17" s="588"/>
      <c r="O17" s="588">
        <f t="shared" si="1"/>
        <v>35258</v>
      </c>
      <c r="P17" s="626"/>
      <c r="S17" s="588">
        <f>35258</f>
        <v>35258</v>
      </c>
      <c r="T17" s="588"/>
      <c r="U17" s="588"/>
      <c r="V17" s="588">
        <f t="shared" si="2"/>
        <v>35258</v>
      </c>
    </row>
    <row r="18" spans="1:22" ht="46.5" x14ac:dyDescent="0.35">
      <c r="A18" s="623">
        <v>9257016</v>
      </c>
      <c r="B18" s="1061" t="s">
        <v>134</v>
      </c>
      <c r="C18" s="1062"/>
      <c r="D18" s="1062"/>
      <c r="E18" s="1062"/>
      <c r="G18" s="588"/>
      <c r="H18" s="588">
        <f>140436</f>
        <v>140436</v>
      </c>
      <c r="I18" s="589">
        <f>582568*5/12</f>
        <v>242736.66666666666</v>
      </c>
      <c r="J18" s="588">
        <f t="shared" si="0"/>
        <v>383172.66666666663</v>
      </c>
      <c r="K18" s="82"/>
      <c r="L18" s="588"/>
      <c r="M18" s="635">
        <f>140436</f>
        <v>140436</v>
      </c>
      <c r="N18" s="589">
        <v>0</v>
      </c>
      <c r="O18" s="588">
        <f t="shared" si="1"/>
        <v>140436</v>
      </c>
      <c r="P18" s="626"/>
      <c r="Q18" s="587" t="s">
        <v>559</v>
      </c>
      <c r="S18" s="588"/>
      <c r="T18" s="588">
        <f>140436</f>
        <v>140436</v>
      </c>
      <c r="U18" s="589"/>
      <c r="V18" s="588">
        <f t="shared" si="2"/>
        <v>140436</v>
      </c>
    </row>
    <row r="19" spans="1:22" ht="12" customHeight="1" x14ac:dyDescent="0.35">
      <c r="A19" s="623">
        <v>9257032</v>
      </c>
      <c r="B19" s="1073" t="s">
        <v>135</v>
      </c>
      <c r="C19" s="1074"/>
      <c r="D19" s="1074"/>
      <c r="E19" s="1075"/>
      <c r="G19" s="588"/>
      <c r="H19" s="588"/>
      <c r="I19" s="588"/>
      <c r="J19" s="588">
        <f t="shared" si="0"/>
        <v>0</v>
      </c>
      <c r="K19" s="626"/>
      <c r="L19" s="588"/>
      <c r="M19" s="588"/>
      <c r="N19" s="588"/>
      <c r="O19" s="588">
        <f t="shared" si="1"/>
        <v>0</v>
      </c>
      <c r="P19" s="626"/>
      <c r="S19" s="588"/>
      <c r="T19" s="588"/>
      <c r="U19" s="588"/>
      <c r="V19" s="588">
        <f t="shared" si="2"/>
        <v>0</v>
      </c>
    </row>
    <row r="20" spans="1:22" ht="12" customHeight="1" x14ac:dyDescent="0.35">
      <c r="A20" s="623">
        <v>9257025</v>
      </c>
      <c r="B20" s="1061" t="s">
        <v>136</v>
      </c>
      <c r="C20" s="1062"/>
      <c r="D20" s="1062"/>
      <c r="E20" s="1062"/>
      <c r="G20" s="588">
        <f>(35258*2)</f>
        <v>70516</v>
      </c>
      <c r="H20" s="588"/>
      <c r="I20" s="588">
        <f>327644+209307</f>
        <v>536951</v>
      </c>
      <c r="J20" s="588">
        <f t="shared" si="0"/>
        <v>607467</v>
      </c>
      <c r="K20" s="626"/>
      <c r="L20" s="588">
        <f>(35258*2)</f>
        <v>70516</v>
      </c>
      <c r="M20" s="588"/>
      <c r="N20" s="588">
        <f>327644+209307</f>
        <v>536951</v>
      </c>
      <c r="O20" s="588">
        <f t="shared" si="1"/>
        <v>607467</v>
      </c>
      <c r="P20" s="626"/>
      <c r="Q20" s="587" t="s">
        <v>560</v>
      </c>
      <c r="S20" s="588">
        <f>(35258*2)</f>
        <v>70516</v>
      </c>
      <c r="T20" s="588"/>
      <c r="U20" s="588">
        <f>327644+209307</f>
        <v>536951</v>
      </c>
      <c r="V20" s="588">
        <f t="shared" si="2"/>
        <v>607467</v>
      </c>
    </row>
    <row r="21" spans="1:22" ht="12" customHeight="1" x14ac:dyDescent="0.35">
      <c r="A21" s="623">
        <v>9257011</v>
      </c>
      <c r="B21" s="1061" t="s">
        <v>137</v>
      </c>
      <c r="C21" s="1062"/>
      <c r="D21" s="1062"/>
      <c r="E21" s="1062"/>
      <c r="G21" s="588">
        <f>35258</f>
        <v>35258</v>
      </c>
      <c r="H21" s="588"/>
      <c r="I21" s="588"/>
      <c r="J21" s="588">
        <f t="shared" si="0"/>
        <v>35258</v>
      </c>
      <c r="K21" s="626"/>
      <c r="L21" s="588">
        <f>35258</f>
        <v>35258</v>
      </c>
      <c r="M21" s="588"/>
      <c r="N21" s="588"/>
      <c r="O21" s="588">
        <f t="shared" si="1"/>
        <v>35258</v>
      </c>
      <c r="P21" s="626"/>
      <c r="S21" s="588"/>
      <c r="T21" s="588"/>
      <c r="U21" s="588"/>
      <c r="V21" s="588">
        <f t="shared" si="2"/>
        <v>0</v>
      </c>
    </row>
    <row r="22" spans="1:22" ht="12" customHeight="1" x14ac:dyDescent="0.35">
      <c r="A22" s="623">
        <v>9257009</v>
      </c>
      <c r="B22" s="1061" t="s">
        <v>138</v>
      </c>
      <c r="C22" s="1062"/>
      <c r="D22" s="1062"/>
      <c r="E22" s="1062"/>
      <c r="G22" s="588"/>
      <c r="H22" s="588"/>
      <c r="I22" s="588"/>
      <c r="J22" s="588">
        <f t="shared" si="0"/>
        <v>0</v>
      </c>
      <c r="K22" s="626"/>
      <c r="L22" s="588"/>
      <c r="M22" s="588"/>
      <c r="N22" s="588"/>
      <c r="O22" s="588">
        <f t="shared" si="1"/>
        <v>0</v>
      </c>
      <c r="P22" s="626"/>
      <c r="S22" s="588">
        <f>35258</f>
        <v>35258</v>
      </c>
      <c r="T22" s="588"/>
      <c r="U22" s="588"/>
      <c r="V22" s="588">
        <f t="shared" si="2"/>
        <v>35258</v>
      </c>
    </row>
    <row r="23" spans="1:22" ht="12" customHeight="1" x14ac:dyDescent="0.35">
      <c r="A23" s="623">
        <v>9257024</v>
      </c>
      <c r="B23" s="1061" t="s">
        <v>139</v>
      </c>
      <c r="C23" s="1062"/>
      <c r="D23" s="1062"/>
      <c r="E23" s="1062"/>
      <c r="G23" s="588">
        <f>35258</f>
        <v>35258</v>
      </c>
      <c r="H23" s="588"/>
      <c r="I23" s="588"/>
      <c r="J23" s="588">
        <f t="shared" si="0"/>
        <v>35258</v>
      </c>
      <c r="K23" s="626"/>
      <c r="L23" s="588">
        <f>35258</f>
        <v>35258</v>
      </c>
      <c r="M23" s="588"/>
      <c r="N23" s="588"/>
      <c r="O23" s="588">
        <f t="shared" si="1"/>
        <v>35258</v>
      </c>
      <c r="P23" s="626"/>
      <c r="S23" s="588">
        <f>35258</f>
        <v>35258</v>
      </c>
      <c r="T23" s="588"/>
      <c r="U23" s="588"/>
      <c r="V23" s="588">
        <f t="shared" si="2"/>
        <v>35258</v>
      </c>
    </row>
    <row r="24" spans="1:22" ht="12" customHeight="1" x14ac:dyDescent="0.35">
      <c r="A24" s="623">
        <v>9257028</v>
      </c>
      <c r="B24" s="1061" t="s">
        <v>140</v>
      </c>
      <c r="C24" s="1062"/>
      <c r="D24" s="1062"/>
      <c r="E24" s="1062"/>
      <c r="G24" s="588">
        <f>35258</f>
        <v>35258</v>
      </c>
      <c r="H24" s="588"/>
      <c r="I24" s="588"/>
      <c r="J24" s="588">
        <f t="shared" si="0"/>
        <v>35258</v>
      </c>
      <c r="K24" s="626"/>
      <c r="L24" s="588">
        <f>35258</f>
        <v>35258</v>
      </c>
      <c r="M24" s="588"/>
      <c r="N24" s="588"/>
      <c r="O24" s="588">
        <f t="shared" si="1"/>
        <v>35258</v>
      </c>
      <c r="P24" s="626"/>
      <c r="S24" s="588">
        <f>35258</f>
        <v>35258</v>
      </c>
      <c r="T24" s="588"/>
      <c r="U24" s="588"/>
      <c r="V24" s="588">
        <f t="shared" si="2"/>
        <v>35258</v>
      </c>
    </row>
    <row r="25" spans="1:22" ht="12" customHeight="1" x14ac:dyDescent="0.35">
      <c r="A25" s="623">
        <v>9257029</v>
      </c>
      <c r="B25" s="1073" t="s">
        <v>296</v>
      </c>
      <c r="C25" s="1074"/>
      <c r="D25" s="1074"/>
      <c r="E25" s="1075"/>
      <c r="G25" s="588"/>
      <c r="H25" s="588"/>
      <c r="I25" s="588"/>
      <c r="J25" s="588">
        <f t="shared" si="0"/>
        <v>0</v>
      </c>
      <c r="K25" s="626"/>
      <c r="L25" s="588"/>
      <c r="M25" s="588"/>
      <c r="N25" s="588"/>
      <c r="O25" s="588">
        <f t="shared" si="1"/>
        <v>0</v>
      </c>
      <c r="P25" s="626"/>
      <c r="S25" s="588"/>
      <c r="T25" s="588"/>
      <c r="U25" s="588"/>
      <c r="V25" s="588">
        <f t="shared" si="2"/>
        <v>0</v>
      </c>
    </row>
    <row r="26" spans="1:22" ht="12" customHeight="1" x14ac:dyDescent="0.35">
      <c r="A26" s="103"/>
      <c r="B26" s="1072" t="s">
        <v>141</v>
      </c>
      <c r="C26" s="1072"/>
      <c r="D26" s="1072"/>
      <c r="E26" s="1072"/>
      <c r="G26" s="588">
        <f>SUM(G7:G25)</f>
        <v>317322</v>
      </c>
      <c r="H26" s="588">
        <f>SUM(H7:H25)</f>
        <v>757936</v>
      </c>
      <c r="I26" s="588">
        <f>SUM(I7:I25)</f>
        <v>779687.66666666663</v>
      </c>
      <c r="J26" s="588">
        <f t="shared" si="0"/>
        <v>1854945.6666666665</v>
      </c>
      <c r="K26" s="626"/>
      <c r="L26" s="588">
        <f>SUM(L7:L25)</f>
        <v>317322</v>
      </c>
      <c r="M26" s="588">
        <f>SUM(M7:M25)</f>
        <v>757936</v>
      </c>
      <c r="N26" s="588">
        <f>SUM(N7:N25)</f>
        <v>536951</v>
      </c>
      <c r="O26" s="588">
        <f>SUM(L26:N26)</f>
        <v>1612209</v>
      </c>
      <c r="P26" s="626"/>
      <c r="S26" s="588">
        <f>SUM(S7:S25)</f>
        <v>317322</v>
      </c>
      <c r="T26" s="588">
        <f>SUM(T7:T25)</f>
        <v>757936</v>
      </c>
      <c r="U26" s="588">
        <f>SUM(U7:U25)</f>
        <v>536951</v>
      </c>
      <c r="V26" s="588">
        <f>SUM(S26:U26)</f>
        <v>1612209</v>
      </c>
    </row>
    <row r="27" spans="1:22" ht="15" customHeight="1" x14ac:dyDescent="0.35">
      <c r="A27" s="103"/>
      <c r="B27" s="621"/>
      <c r="C27" s="621"/>
      <c r="D27" s="621"/>
      <c r="E27" s="621"/>
    </row>
    <row r="28" spans="1:22" ht="15" hidden="1" customHeight="1" x14ac:dyDescent="0.35">
      <c r="A28" s="103"/>
      <c r="B28" s="30" t="s">
        <v>142</v>
      </c>
      <c r="C28" s="621"/>
      <c r="D28" s="621"/>
      <c r="E28" s="621"/>
    </row>
    <row r="29" spans="1:22" ht="15" hidden="1" customHeight="1" x14ac:dyDescent="0.35">
      <c r="A29" s="103"/>
      <c r="B29" s="31" t="s">
        <v>143</v>
      </c>
      <c r="C29" s="621"/>
      <c r="D29" s="621"/>
      <c r="E29" s="621"/>
    </row>
    <row r="30" spans="1:22" ht="15" hidden="1" customHeight="1" x14ac:dyDescent="0.35">
      <c r="A30" s="103"/>
      <c r="B30" s="1071" t="s">
        <v>144</v>
      </c>
      <c r="C30" s="1071"/>
      <c r="D30" s="1071"/>
      <c r="E30" s="1071"/>
    </row>
    <row r="31" spans="1:22" ht="15" hidden="1" customHeight="1" x14ac:dyDescent="0.35">
      <c r="A31" s="103"/>
      <c r="B31" s="1071"/>
      <c r="C31" s="1071"/>
      <c r="D31" s="1071"/>
      <c r="E31" s="1071"/>
    </row>
    <row r="32" spans="1:22" ht="15" hidden="1" customHeight="1" x14ac:dyDescent="0.35">
      <c r="A32" s="103"/>
      <c r="B32" s="1071"/>
      <c r="C32" s="1071"/>
      <c r="D32" s="1071"/>
      <c r="E32" s="1071"/>
    </row>
    <row r="33" spans="1:5" ht="18.75" hidden="1" customHeight="1" x14ac:dyDescent="0.35">
      <c r="A33" s="103"/>
      <c r="B33" s="1071"/>
      <c r="C33" s="1071"/>
      <c r="D33" s="1071"/>
      <c r="E33" s="1071"/>
    </row>
    <row r="34" spans="1:5" ht="15" hidden="1" customHeight="1" x14ac:dyDescent="0.35">
      <c r="A34" s="103"/>
      <c r="B34" s="624"/>
      <c r="C34" s="624"/>
      <c r="D34" s="624"/>
      <c r="E34" s="624"/>
    </row>
    <row r="35" spans="1:5" ht="15" hidden="1" customHeight="1" x14ac:dyDescent="0.35">
      <c r="A35" s="103"/>
      <c r="B35" s="31" t="s">
        <v>145</v>
      </c>
      <c r="C35" s="621"/>
      <c r="D35" s="621"/>
      <c r="E35" s="621"/>
    </row>
    <row r="36" spans="1:5" ht="15" hidden="1" customHeight="1" x14ac:dyDescent="0.35">
      <c r="A36" s="103"/>
      <c r="B36" s="1071" t="s">
        <v>146</v>
      </c>
      <c r="C36" s="1071"/>
      <c r="D36" s="1071"/>
      <c r="E36" s="1071"/>
    </row>
    <row r="37" spans="1:5" ht="15" hidden="1" customHeight="1" x14ac:dyDescent="0.35">
      <c r="A37" s="103"/>
      <c r="B37" s="1071"/>
      <c r="C37" s="1071"/>
      <c r="D37" s="1071"/>
      <c r="E37" s="1071"/>
    </row>
    <row r="38" spans="1:5" ht="23.25" hidden="1" customHeight="1" x14ac:dyDescent="0.35">
      <c r="A38" s="103"/>
      <c r="B38" s="1071"/>
      <c r="C38" s="1071"/>
      <c r="D38" s="1071"/>
      <c r="E38" s="1071"/>
    </row>
    <row r="39" spans="1:5" hidden="1" x14ac:dyDescent="0.35">
      <c r="A39" s="103"/>
      <c r="B39" s="625"/>
      <c r="C39" s="625"/>
      <c r="D39" s="625"/>
      <c r="E39" s="625"/>
    </row>
    <row r="40" spans="1:5" hidden="1" x14ac:dyDescent="0.35">
      <c r="A40" s="103"/>
      <c r="B40" s="32" t="s">
        <v>147</v>
      </c>
      <c r="C40" s="625"/>
      <c r="D40" s="625"/>
      <c r="E40" s="625"/>
    </row>
    <row r="41" spans="1:5" ht="15.75" hidden="1" customHeight="1" x14ac:dyDescent="0.35">
      <c r="A41" s="103"/>
      <c r="B41" s="1071" t="s">
        <v>148</v>
      </c>
      <c r="C41" s="1071"/>
      <c r="D41" s="1071"/>
      <c r="E41" s="1071"/>
    </row>
    <row r="42" spans="1:5" hidden="1" x14ac:dyDescent="0.35">
      <c r="A42" s="103"/>
      <c r="B42" s="1071"/>
      <c r="C42" s="1071"/>
      <c r="D42" s="1071"/>
      <c r="E42" s="1071"/>
    </row>
    <row r="43" spans="1:5" hidden="1" x14ac:dyDescent="0.35">
      <c r="A43" s="103"/>
      <c r="B43" s="1071"/>
      <c r="C43" s="1071"/>
      <c r="D43" s="1071"/>
      <c r="E43" s="1071"/>
    </row>
    <row r="44" spans="1:5" hidden="1" x14ac:dyDescent="0.35">
      <c r="A44" s="103"/>
      <c r="B44" s="1071"/>
      <c r="C44" s="1071"/>
      <c r="D44" s="1071"/>
      <c r="E44" s="1071"/>
    </row>
    <row r="45" spans="1:5" ht="15" hidden="1" customHeight="1" x14ac:dyDescent="0.35">
      <c r="A45" s="103"/>
      <c r="B45" s="625"/>
      <c r="C45" s="625"/>
      <c r="D45" s="625"/>
      <c r="E45" s="625"/>
    </row>
    <row r="46" spans="1:5" ht="15" hidden="1" customHeight="1" x14ac:dyDescent="0.35">
      <c r="A46" s="103"/>
      <c r="B46" s="1071" t="s">
        <v>149</v>
      </c>
      <c r="C46" s="1071"/>
      <c r="D46" s="1071"/>
      <c r="E46" s="1071"/>
    </row>
    <row r="47" spans="1:5" hidden="1" x14ac:dyDescent="0.35">
      <c r="A47" s="103"/>
      <c r="B47" s="1071"/>
      <c r="C47" s="1071"/>
      <c r="D47" s="1071"/>
      <c r="E47" s="1071"/>
    </row>
    <row r="48" spans="1:5" ht="15" hidden="1" customHeight="1" x14ac:dyDescent="0.35">
      <c r="A48" s="103"/>
      <c r="B48" s="1071" t="s">
        <v>150</v>
      </c>
      <c r="C48" s="1071"/>
      <c r="D48" s="1071"/>
      <c r="E48" s="1071"/>
    </row>
    <row r="49" spans="1:5" ht="37.5" hidden="1" customHeight="1" x14ac:dyDescent="0.35">
      <c r="A49" s="103"/>
      <c r="B49" s="1071"/>
      <c r="C49" s="1071"/>
      <c r="D49" s="1071"/>
      <c r="E49" s="1071"/>
    </row>
    <row r="50" spans="1:5" ht="15" hidden="1" customHeight="1" x14ac:dyDescent="0.35">
      <c r="A50" s="103"/>
      <c r="B50" s="621"/>
      <c r="C50" s="621"/>
      <c r="D50" s="621"/>
      <c r="E50" s="621"/>
    </row>
    <row r="51" spans="1:5" ht="15" hidden="1" customHeight="1" x14ac:dyDescent="0.35">
      <c r="A51" s="103"/>
      <c r="B51" s="31" t="s">
        <v>6</v>
      </c>
      <c r="C51" s="621"/>
      <c r="D51" s="621"/>
      <c r="E51" s="621"/>
    </row>
    <row r="52" spans="1:5" ht="15" hidden="1" customHeight="1" x14ac:dyDescent="0.35">
      <c r="A52" s="103">
        <v>9257021</v>
      </c>
      <c r="B52" s="1068" t="s">
        <v>130</v>
      </c>
      <c r="C52" s="1069"/>
      <c r="D52" s="1069"/>
      <c r="E52" s="1070"/>
    </row>
    <row r="53" spans="1:5" ht="15" hidden="1" customHeight="1" x14ac:dyDescent="0.35">
      <c r="A53" s="103">
        <v>9257016</v>
      </c>
      <c r="B53" s="1068" t="s">
        <v>134</v>
      </c>
      <c r="C53" s="1069"/>
      <c r="D53" s="1069"/>
      <c r="E53" s="1070"/>
    </row>
    <row r="54" spans="1:5" ht="15" hidden="1" customHeight="1" x14ac:dyDescent="0.35">
      <c r="A54" s="103">
        <v>9257025</v>
      </c>
      <c r="B54" s="1068" t="s">
        <v>136</v>
      </c>
      <c r="C54" s="1069"/>
      <c r="D54" s="1069"/>
      <c r="E54" s="1070"/>
    </row>
    <row r="55" spans="1:5" ht="15" hidden="1" customHeight="1" x14ac:dyDescent="0.35">
      <c r="A55" s="103"/>
      <c r="B55" s="621"/>
      <c r="C55" s="621"/>
      <c r="D55" s="621"/>
      <c r="E55" s="621"/>
    </row>
    <row r="56" spans="1:5" ht="15" hidden="1" customHeight="1" x14ac:dyDescent="0.35">
      <c r="A56" s="103"/>
      <c r="B56" s="621"/>
      <c r="C56" s="621"/>
      <c r="D56" s="621"/>
      <c r="E56" s="621"/>
    </row>
    <row r="57" spans="1:5" ht="15" hidden="1" customHeight="1" x14ac:dyDescent="0.35">
      <c r="A57" s="103"/>
      <c r="B57" s="621" t="s">
        <v>151</v>
      </c>
      <c r="C57" s="621"/>
      <c r="D57" s="621"/>
      <c r="E57" s="621"/>
    </row>
    <row r="58" spans="1:5" ht="15" hidden="1" customHeight="1" x14ac:dyDescent="0.35">
      <c r="A58" s="103"/>
      <c r="B58" s="621"/>
      <c r="C58" s="621"/>
      <c r="D58" s="621"/>
      <c r="E58" s="621"/>
    </row>
    <row r="59" spans="1:5" ht="15" customHeight="1" x14ac:dyDescent="0.35">
      <c r="A59" s="103"/>
      <c r="B59" s="621"/>
      <c r="C59" s="621"/>
      <c r="D59" s="621"/>
      <c r="E59" s="621"/>
    </row>
    <row r="60" spans="1:5" ht="15" customHeight="1" x14ac:dyDescent="0.35">
      <c r="A60" s="103"/>
      <c r="B60" s="621"/>
      <c r="C60" s="621"/>
      <c r="D60" s="621"/>
      <c r="E60" s="621"/>
    </row>
    <row r="61" spans="1:5" ht="12" customHeight="1" x14ac:dyDescent="0.35">
      <c r="A61" s="103"/>
      <c r="B61" s="621"/>
      <c r="C61" s="621"/>
      <c r="D61" s="621"/>
      <c r="E61" s="621"/>
    </row>
    <row r="62" spans="1:5" ht="12" customHeight="1" x14ac:dyDescent="0.35">
      <c r="A62" s="28"/>
      <c r="B62" s="55"/>
      <c r="C62" s="621"/>
      <c r="D62" s="621"/>
      <c r="E62" s="621"/>
    </row>
    <row r="63" spans="1:5" ht="12" customHeight="1" x14ac:dyDescent="0.35">
      <c r="A63" s="28"/>
      <c r="B63" s="621"/>
      <c r="C63" s="621"/>
      <c r="D63" s="621"/>
      <c r="E63" s="627"/>
    </row>
    <row r="64" spans="1:5" ht="12" customHeight="1" x14ac:dyDescent="0.35">
      <c r="A64" s="28"/>
      <c r="B64" s="621"/>
      <c r="C64" s="621"/>
      <c r="D64" s="621"/>
      <c r="E64" s="621"/>
    </row>
  </sheetData>
  <mergeCells count="41">
    <mergeCell ref="V4:V6"/>
    <mergeCell ref="B53:E53"/>
    <mergeCell ref="B13:E13"/>
    <mergeCell ref="B26:E26"/>
    <mergeCell ref="B15:E15"/>
    <mergeCell ref="B16:E16"/>
    <mergeCell ref="B17:E17"/>
    <mergeCell ref="B18:E18"/>
    <mergeCell ref="B19:E19"/>
    <mergeCell ref="B20:E20"/>
    <mergeCell ref="B21:E21"/>
    <mergeCell ref="B22:E22"/>
    <mergeCell ref="B23:E23"/>
    <mergeCell ref="B24:E24"/>
    <mergeCell ref="B25:E25"/>
    <mergeCell ref="S4:S6"/>
    <mergeCell ref="T4:T6"/>
    <mergeCell ref="U4:U6"/>
    <mergeCell ref="B54:E54"/>
    <mergeCell ref="B30:E33"/>
    <mergeCell ref="B36:E38"/>
    <mergeCell ref="B41:E44"/>
    <mergeCell ref="B46:E47"/>
    <mergeCell ref="B48:E49"/>
    <mergeCell ref="B52:E52"/>
    <mergeCell ref="O4:O6"/>
    <mergeCell ref="L4:L6"/>
    <mergeCell ref="M4:M6"/>
    <mergeCell ref="N4:N6"/>
    <mergeCell ref="B14:E14"/>
    <mergeCell ref="H4:H6"/>
    <mergeCell ref="I4:I6"/>
    <mergeCell ref="B9:E9"/>
    <mergeCell ref="B10:E10"/>
    <mergeCell ref="B11:E11"/>
    <mergeCell ref="B12:E12"/>
    <mergeCell ref="J4:J6"/>
    <mergeCell ref="B6:E6"/>
    <mergeCell ref="B7:E7"/>
    <mergeCell ref="B8:E8"/>
    <mergeCell ref="G4:G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9248-B793-425C-BBC5-DBD003E10A21}">
  <sheetPr>
    <tabColor rgb="FFFFC000"/>
  </sheetPr>
  <dimension ref="B2:K62"/>
  <sheetViews>
    <sheetView workbookViewId="0">
      <selection activeCell="E25" sqref="E25"/>
    </sheetView>
  </sheetViews>
  <sheetFormatPr defaultColWidth="9.1796875" defaultRowHeight="15.5" x14ac:dyDescent="0.35"/>
  <cols>
    <col min="1" max="1" width="9.1796875" style="640"/>
    <col min="2" max="2" width="13.26953125" style="27" customWidth="1"/>
    <col min="3" max="3" width="41.26953125" style="27" customWidth="1"/>
    <col min="4" max="5" width="9.1796875" style="640"/>
    <col min="6" max="6" width="10.54296875" style="640" customWidth="1"/>
    <col min="7" max="7" width="14.81640625" style="640" customWidth="1"/>
    <col min="8" max="16384" width="9.1796875" style="640"/>
  </cols>
  <sheetData>
    <row r="2" spans="2:11" ht="12" customHeight="1" x14ac:dyDescent="0.35">
      <c r="B2" s="845" t="s">
        <v>904</v>
      </c>
    </row>
    <row r="3" spans="2:11" ht="12" customHeight="1" x14ac:dyDescent="0.35">
      <c r="B3" s="103"/>
      <c r="C3" s="103"/>
    </row>
    <row r="4" spans="2:11" s="832" customFormat="1" ht="12" customHeight="1" x14ac:dyDescent="0.3">
      <c r="B4" s="830"/>
      <c r="C4" s="838"/>
      <c r="D4" s="1078" t="s">
        <v>901</v>
      </c>
      <c r="E4" s="1077" t="s">
        <v>902</v>
      </c>
      <c r="F4" s="1077" t="s">
        <v>903</v>
      </c>
      <c r="G4" s="1077" t="s">
        <v>121</v>
      </c>
    </row>
    <row r="5" spans="2:11" s="832" customFormat="1" ht="12" customHeight="1" x14ac:dyDescent="0.3">
      <c r="B5" s="841" t="s">
        <v>48</v>
      </c>
      <c r="C5" s="840" t="s">
        <v>122</v>
      </c>
      <c r="D5" s="1078"/>
      <c r="E5" s="1077"/>
      <c r="F5" s="1077"/>
      <c r="G5" s="1077"/>
    </row>
    <row r="6" spans="2:11" s="832" customFormat="1" ht="12" customHeight="1" x14ac:dyDescent="0.3">
      <c r="B6" s="842"/>
      <c r="C6" s="839"/>
      <c r="D6" s="1078"/>
      <c r="E6" s="1077"/>
      <c r="F6" s="1077"/>
      <c r="G6" s="1077"/>
    </row>
    <row r="7" spans="2:11" ht="12" customHeight="1" x14ac:dyDescent="0.35">
      <c r="B7" s="68">
        <v>9257010</v>
      </c>
      <c r="C7" s="68" t="s">
        <v>333</v>
      </c>
      <c r="D7" s="588">
        <v>0</v>
      </c>
      <c r="E7" s="588"/>
      <c r="F7" s="588"/>
      <c r="G7" s="588">
        <f t="shared" ref="G7:G23" si="0">SUM(D7:F7)</f>
        <v>0</v>
      </c>
    </row>
    <row r="8" spans="2:11" ht="12" customHeight="1" x14ac:dyDescent="0.35">
      <c r="B8" s="68">
        <v>9257005</v>
      </c>
      <c r="C8" s="68" t="s">
        <v>259</v>
      </c>
      <c r="D8" s="588">
        <v>0</v>
      </c>
      <c r="E8" s="588"/>
      <c r="F8" s="588"/>
      <c r="G8" s="588">
        <f t="shared" si="0"/>
        <v>0</v>
      </c>
    </row>
    <row r="9" spans="2:11" ht="12" customHeight="1" x14ac:dyDescent="0.35">
      <c r="B9" s="68">
        <v>9257025</v>
      </c>
      <c r="C9" s="68" t="s">
        <v>260</v>
      </c>
      <c r="D9" s="588">
        <v>370270</v>
      </c>
      <c r="E9" s="588"/>
      <c r="F9" s="588">
        <v>0</v>
      </c>
      <c r="G9" s="588">
        <f t="shared" si="0"/>
        <v>370270</v>
      </c>
    </row>
    <row r="10" spans="2:11" x14ac:dyDescent="0.35">
      <c r="B10" s="68">
        <v>9257024</v>
      </c>
      <c r="C10" s="68" t="s">
        <v>261</v>
      </c>
      <c r="D10" s="588">
        <v>0</v>
      </c>
      <c r="E10" s="588"/>
      <c r="F10" s="588"/>
      <c r="G10" s="588">
        <f t="shared" si="0"/>
        <v>0</v>
      </c>
      <c r="H10" s="833"/>
      <c r="I10" s="833"/>
      <c r="J10" s="833"/>
      <c r="K10" s="833"/>
    </row>
    <row r="11" spans="2:11" ht="12" customHeight="1" x14ac:dyDescent="0.35">
      <c r="B11" s="68">
        <v>9257031</v>
      </c>
      <c r="C11" s="68" t="s">
        <v>169</v>
      </c>
      <c r="D11" s="588"/>
      <c r="E11" s="588"/>
      <c r="F11" s="588"/>
      <c r="G11" s="588">
        <f t="shared" si="0"/>
        <v>0</v>
      </c>
    </row>
    <row r="12" spans="2:11" ht="12" customHeight="1" x14ac:dyDescent="0.35">
      <c r="B12" s="68">
        <v>9257033</v>
      </c>
      <c r="C12" s="68" t="s">
        <v>269</v>
      </c>
      <c r="D12" s="588"/>
      <c r="E12" s="588"/>
      <c r="F12" s="588"/>
      <c r="G12" s="588">
        <f t="shared" si="0"/>
        <v>0</v>
      </c>
    </row>
    <row r="13" spans="2:11" ht="12" customHeight="1" x14ac:dyDescent="0.35">
      <c r="B13" s="68">
        <v>9257008</v>
      </c>
      <c r="C13" s="68" t="s">
        <v>126</v>
      </c>
      <c r="D13" s="588"/>
      <c r="E13" s="588">
        <f>617500</f>
        <v>617500</v>
      </c>
      <c r="F13" s="588"/>
      <c r="G13" s="588">
        <f t="shared" si="0"/>
        <v>617500</v>
      </c>
    </row>
    <row r="14" spans="2:11" ht="12" customHeight="1" x14ac:dyDescent="0.35">
      <c r="B14" s="68">
        <v>9257034</v>
      </c>
      <c r="C14" s="68" t="s">
        <v>270</v>
      </c>
      <c r="D14" s="588"/>
      <c r="E14" s="588"/>
      <c r="F14" s="588"/>
      <c r="G14" s="588">
        <f t="shared" si="0"/>
        <v>0</v>
      </c>
    </row>
    <row r="15" spans="2:11" s="27" customFormat="1" ht="12" customHeight="1" x14ac:dyDescent="0.25">
      <c r="B15" s="68">
        <v>9257002</v>
      </c>
      <c r="C15" s="68" t="s">
        <v>262</v>
      </c>
      <c r="D15" s="588"/>
      <c r="E15" s="588"/>
      <c r="F15" s="588"/>
      <c r="G15" s="588">
        <f t="shared" si="0"/>
        <v>0</v>
      </c>
      <c r="H15" s="103"/>
      <c r="I15" s="103"/>
      <c r="J15" s="103"/>
      <c r="K15" s="103"/>
    </row>
    <row r="16" spans="2:11" s="27" customFormat="1" ht="12" customHeight="1" x14ac:dyDescent="0.25">
      <c r="B16" s="68">
        <v>9257009</v>
      </c>
      <c r="C16" s="68" t="s">
        <v>334</v>
      </c>
      <c r="D16" s="588">
        <v>0</v>
      </c>
      <c r="E16" s="588"/>
      <c r="F16" s="588"/>
      <c r="G16" s="588">
        <f t="shared" si="0"/>
        <v>0</v>
      </c>
      <c r="H16" s="103"/>
      <c r="I16" s="103"/>
      <c r="J16" s="103"/>
      <c r="K16" s="103"/>
    </row>
    <row r="17" spans="2:7" ht="12" customHeight="1" x14ac:dyDescent="0.35">
      <c r="B17" s="68">
        <v>9257029</v>
      </c>
      <c r="C17" s="68" t="s">
        <v>278</v>
      </c>
      <c r="D17" s="588"/>
      <c r="E17" s="588"/>
      <c r="F17" s="588"/>
      <c r="G17" s="588">
        <f t="shared" si="0"/>
        <v>0</v>
      </c>
    </row>
    <row r="18" spans="2:7" x14ac:dyDescent="0.35">
      <c r="B18" s="68">
        <v>9257032</v>
      </c>
      <c r="C18" s="68" t="s">
        <v>266</v>
      </c>
      <c r="D18" s="588"/>
      <c r="E18" s="588"/>
      <c r="F18" s="589"/>
      <c r="G18" s="588">
        <f t="shared" si="0"/>
        <v>0</v>
      </c>
    </row>
    <row r="19" spans="2:7" ht="12" customHeight="1" x14ac:dyDescent="0.35">
      <c r="B19" s="68">
        <v>9257030</v>
      </c>
      <c r="C19" s="68" t="s">
        <v>268</v>
      </c>
      <c r="D19" s="588"/>
      <c r="E19" s="588"/>
      <c r="F19" s="588"/>
      <c r="G19" s="588">
        <f t="shared" si="0"/>
        <v>0</v>
      </c>
    </row>
    <row r="20" spans="2:7" ht="12" customHeight="1" x14ac:dyDescent="0.35">
      <c r="B20" s="68">
        <v>9257028</v>
      </c>
      <c r="C20" s="68" t="s">
        <v>70</v>
      </c>
      <c r="D20" s="588">
        <v>0</v>
      </c>
      <c r="E20" s="588"/>
      <c r="F20" s="588"/>
      <c r="G20" s="588">
        <f t="shared" si="0"/>
        <v>0</v>
      </c>
    </row>
    <row r="21" spans="2:7" ht="12" customHeight="1" x14ac:dyDescent="0.35">
      <c r="B21" s="68">
        <v>9257021</v>
      </c>
      <c r="C21" s="68" t="s">
        <v>263</v>
      </c>
      <c r="D21" s="588">
        <v>0</v>
      </c>
      <c r="E21" s="588"/>
      <c r="F21" s="588"/>
      <c r="G21" s="588">
        <f t="shared" si="0"/>
        <v>0</v>
      </c>
    </row>
    <row r="22" spans="2:7" ht="12" customHeight="1" x14ac:dyDescent="0.35">
      <c r="B22" s="68">
        <v>9257015</v>
      </c>
      <c r="C22" s="68" t="s">
        <v>72</v>
      </c>
      <c r="D22" s="588">
        <v>0</v>
      </c>
      <c r="E22" s="588"/>
      <c r="F22" s="588"/>
      <c r="G22" s="588">
        <f t="shared" si="0"/>
        <v>0</v>
      </c>
    </row>
    <row r="23" spans="2:7" ht="12" customHeight="1" x14ac:dyDescent="0.35">
      <c r="B23" s="68">
        <v>9257016</v>
      </c>
      <c r="C23" s="68" t="s">
        <v>73</v>
      </c>
      <c r="D23" s="588"/>
      <c r="E23" s="588">
        <v>140436</v>
      </c>
      <c r="F23" s="588"/>
      <c r="G23" s="588">
        <f t="shared" si="0"/>
        <v>140436</v>
      </c>
    </row>
    <row r="24" spans="2:7" ht="12" customHeight="1" x14ac:dyDescent="0.35">
      <c r="B24" s="843"/>
      <c r="C24" s="831" t="s">
        <v>141</v>
      </c>
      <c r="D24" s="635">
        <f>SUM(D7:D23)</f>
        <v>370270</v>
      </c>
      <c r="E24" s="844">
        <f>SUM(E7:E23)</f>
        <v>757936</v>
      </c>
      <c r="F24" s="635">
        <f>SUM(F7:F23)</f>
        <v>0</v>
      </c>
      <c r="G24" s="588">
        <f>SUM(D24:F24)</f>
        <v>1128206</v>
      </c>
    </row>
    <row r="25" spans="2:7" ht="15" customHeight="1" x14ac:dyDescent="0.35">
      <c r="B25" s="103"/>
      <c r="C25" s="103"/>
    </row>
    <row r="26" spans="2:7" ht="15" hidden="1" customHeight="1" x14ac:dyDescent="0.35">
      <c r="B26" s="103"/>
      <c r="C26" s="834" t="s">
        <v>142</v>
      </c>
    </row>
    <row r="27" spans="2:7" ht="15" hidden="1" customHeight="1" x14ac:dyDescent="0.35">
      <c r="B27" s="103"/>
      <c r="C27" s="835" t="s">
        <v>143</v>
      </c>
    </row>
    <row r="28" spans="2:7" ht="15" hidden="1" customHeight="1" x14ac:dyDescent="0.35">
      <c r="B28" s="103"/>
      <c r="C28" s="1076" t="s">
        <v>144</v>
      </c>
    </row>
    <row r="29" spans="2:7" ht="15" hidden="1" customHeight="1" x14ac:dyDescent="0.35">
      <c r="B29" s="103"/>
      <c r="C29" s="1076"/>
    </row>
    <row r="30" spans="2:7" ht="15" hidden="1" customHeight="1" x14ac:dyDescent="0.35">
      <c r="B30" s="103"/>
      <c r="C30" s="1076"/>
    </row>
    <row r="31" spans="2:7" ht="18.75" hidden="1" customHeight="1" x14ac:dyDescent="0.35">
      <c r="B31" s="103"/>
      <c r="C31" s="1076"/>
    </row>
    <row r="32" spans="2:7" ht="15" hidden="1" customHeight="1" x14ac:dyDescent="0.35">
      <c r="B32" s="103"/>
      <c r="C32" s="622"/>
    </row>
    <row r="33" spans="2:3" ht="15" hidden="1" customHeight="1" x14ac:dyDescent="0.35">
      <c r="B33" s="103"/>
      <c r="C33" s="835" t="s">
        <v>145</v>
      </c>
    </row>
    <row r="34" spans="2:3" ht="15" hidden="1" customHeight="1" x14ac:dyDescent="0.35">
      <c r="B34" s="103"/>
      <c r="C34" s="1076" t="s">
        <v>146</v>
      </c>
    </row>
    <row r="35" spans="2:3" ht="15" hidden="1" customHeight="1" x14ac:dyDescent="0.35">
      <c r="B35" s="103"/>
      <c r="C35" s="1076"/>
    </row>
    <row r="36" spans="2:3" ht="23.25" hidden="1" customHeight="1" x14ac:dyDescent="0.35">
      <c r="B36" s="103"/>
      <c r="C36" s="1076"/>
    </row>
    <row r="37" spans="2:3" hidden="1" x14ac:dyDescent="0.35">
      <c r="B37" s="103"/>
      <c r="C37" s="103"/>
    </row>
    <row r="38" spans="2:3" hidden="1" x14ac:dyDescent="0.35">
      <c r="B38" s="103"/>
      <c r="C38" s="835" t="s">
        <v>147</v>
      </c>
    </row>
    <row r="39" spans="2:3" ht="15.75" hidden="1" customHeight="1" x14ac:dyDescent="0.35">
      <c r="B39" s="103"/>
      <c r="C39" s="1076" t="s">
        <v>148</v>
      </c>
    </row>
    <row r="40" spans="2:3" hidden="1" x14ac:dyDescent="0.35">
      <c r="B40" s="103"/>
      <c r="C40" s="1076"/>
    </row>
    <row r="41" spans="2:3" hidden="1" x14ac:dyDescent="0.35">
      <c r="B41" s="103"/>
      <c r="C41" s="1076"/>
    </row>
    <row r="42" spans="2:3" hidden="1" x14ac:dyDescent="0.35">
      <c r="B42" s="103"/>
      <c r="C42" s="1076"/>
    </row>
    <row r="43" spans="2:3" ht="15" hidden="1" customHeight="1" x14ac:dyDescent="0.35">
      <c r="B43" s="103"/>
      <c r="C43" s="103"/>
    </row>
    <row r="44" spans="2:3" ht="15" hidden="1" customHeight="1" x14ac:dyDescent="0.35">
      <c r="B44" s="103"/>
      <c r="C44" s="1076" t="s">
        <v>149</v>
      </c>
    </row>
    <row r="45" spans="2:3" hidden="1" x14ac:dyDescent="0.35">
      <c r="B45" s="103"/>
      <c r="C45" s="1076"/>
    </row>
    <row r="46" spans="2:3" ht="15" hidden="1" customHeight="1" x14ac:dyDescent="0.35">
      <c r="B46" s="103"/>
      <c r="C46" s="1076" t="s">
        <v>150</v>
      </c>
    </row>
    <row r="47" spans="2:3" ht="37.5" hidden="1" customHeight="1" x14ac:dyDescent="0.35">
      <c r="B47" s="103"/>
      <c r="C47" s="1076"/>
    </row>
    <row r="48" spans="2:3" ht="15" hidden="1" customHeight="1" x14ac:dyDescent="0.35">
      <c r="B48" s="103"/>
      <c r="C48" s="103"/>
    </row>
    <row r="49" spans="2:3" ht="15" hidden="1" customHeight="1" x14ac:dyDescent="0.35">
      <c r="B49" s="103"/>
      <c r="C49" s="835" t="s">
        <v>6</v>
      </c>
    </row>
    <row r="50" spans="2:3" ht="15" hidden="1" customHeight="1" x14ac:dyDescent="0.35">
      <c r="B50" s="103">
        <v>9257021</v>
      </c>
      <c r="C50" s="836" t="s">
        <v>130</v>
      </c>
    </row>
    <row r="51" spans="2:3" ht="15" hidden="1" customHeight="1" x14ac:dyDescent="0.35">
      <c r="B51" s="103">
        <v>9257016</v>
      </c>
      <c r="C51" s="836" t="s">
        <v>134</v>
      </c>
    </row>
    <row r="52" spans="2:3" ht="15" hidden="1" customHeight="1" x14ac:dyDescent="0.35">
      <c r="B52" s="103">
        <v>9257025</v>
      </c>
      <c r="C52" s="836" t="s">
        <v>136</v>
      </c>
    </row>
    <row r="53" spans="2:3" ht="15" hidden="1" customHeight="1" x14ac:dyDescent="0.35">
      <c r="B53" s="103"/>
      <c r="C53" s="103"/>
    </row>
    <row r="54" spans="2:3" ht="15" hidden="1" customHeight="1" x14ac:dyDescent="0.35">
      <c r="B54" s="103"/>
      <c r="C54" s="103"/>
    </row>
    <row r="55" spans="2:3" ht="15" hidden="1" customHeight="1" x14ac:dyDescent="0.35">
      <c r="B55" s="103"/>
      <c r="C55" s="103" t="s">
        <v>151</v>
      </c>
    </row>
    <row r="56" spans="2:3" ht="15" hidden="1" customHeight="1" x14ac:dyDescent="0.35">
      <c r="B56" s="103"/>
      <c r="C56" s="103"/>
    </row>
    <row r="57" spans="2:3" ht="15" customHeight="1" x14ac:dyDescent="0.35">
      <c r="B57" s="103"/>
      <c r="C57" s="103"/>
    </row>
    <row r="58" spans="2:3" ht="15" customHeight="1" x14ac:dyDescent="0.35">
      <c r="B58" s="103"/>
      <c r="C58" s="103"/>
    </row>
    <row r="59" spans="2:3" ht="12" customHeight="1" x14ac:dyDescent="0.35">
      <c r="B59" s="103"/>
      <c r="C59" s="103"/>
    </row>
    <row r="60" spans="2:3" ht="12" customHeight="1" x14ac:dyDescent="0.35">
      <c r="B60" s="640"/>
      <c r="C60" s="837"/>
    </row>
    <row r="61" spans="2:3" ht="12" customHeight="1" x14ac:dyDescent="0.35">
      <c r="B61" s="640"/>
      <c r="C61" s="103"/>
    </row>
    <row r="62" spans="2:3" ht="12" customHeight="1" x14ac:dyDescent="0.35">
      <c r="B62" s="640"/>
      <c r="C62" s="103"/>
    </row>
  </sheetData>
  <mergeCells count="9">
    <mergeCell ref="C44:C45"/>
    <mergeCell ref="C46:C47"/>
    <mergeCell ref="G4:G6"/>
    <mergeCell ref="D4:D6"/>
    <mergeCell ref="E4:E6"/>
    <mergeCell ref="F4:F6"/>
    <mergeCell ref="C39:C42"/>
    <mergeCell ref="C28:C31"/>
    <mergeCell ref="C34:C36"/>
  </mergeCells>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07FD-6ADC-472F-9736-5D2E5BCC3D61}">
  <sheetPr>
    <tabColor rgb="FFFFFF00"/>
  </sheetPr>
  <dimension ref="A1:BT43"/>
  <sheetViews>
    <sheetView workbookViewId="0">
      <selection activeCell="K5" sqref="K5"/>
    </sheetView>
  </sheetViews>
  <sheetFormatPr defaultColWidth="9.1796875" defaultRowHeight="12.5" x14ac:dyDescent="0.25"/>
  <cols>
    <col min="1" max="1" width="19.26953125" style="49" customWidth="1"/>
    <col min="2" max="2" width="20.7265625" style="48" customWidth="1"/>
    <col min="3" max="6" width="15.7265625" style="48" customWidth="1"/>
    <col min="7" max="7" width="61.7265625" style="49" customWidth="1"/>
    <col min="8" max="8" width="9.1796875" style="49"/>
    <col min="9" max="11" width="15.7265625" style="48" customWidth="1"/>
    <col min="12" max="12" width="11.54296875" style="48" customWidth="1"/>
    <col min="13" max="15" width="9.1796875" style="49"/>
    <col min="16" max="16" width="9.1796875" style="48"/>
    <col min="17" max="17" width="10.1796875" style="49" bestFit="1" customWidth="1"/>
    <col min="18" max="31" width="9.1796875" style="49"/>
    <col min="32" max="32" width="10.453125" style="49" customWidth="1"/>
    <col min="33" max="40" width="9.1796875" style="49"/>
    <col min="41" max="41" width="10.1796875" style="49" bestFit="1" customWidth="1"/>
    <col min="42" max="42" width="12" style="49" customWidth="1"/>
    <col min="43" max="58" width="9.1796875" style="49"/>
    <col min="59" max="61" width="9.1796875" style="48"/>
    <col min="62" max="62" width="9.1796875" style="49"/>
    <col min="63" max="64" width="13.1796875" style="48" customWidth="1"/>
    <col min="65" max="16384" width="9.1796875" style="49"/>
  </cols>
  <sheetData>
    <row r="1" spans="1:72" x14ac:dyDescent="0.25">
      <c r="E1" s="360" t="s">
        <v>561</v>
      </c>
      <c r="N1" s="1079" t="s">
        <v>562</v>
      </c>
      <c r="P1" s="356" t="s">
        <v>563</v>
      </c>
      <c r="Q1" s="357">
        <v>484.95</v>
      </c>
    </row>
    <row r="2" spans="1:72" ht="28.5" customHeight="1" x14ac:dyDescent="0.25">
      <c r="A2" s="1" t="s">
        <v>7</v>
      </c>
      <c r="D2" s="360"/>
      <c r="K2" s="49"/>
      <c r="L2" s="49"/>
      <c r="N2" s="1079"/>
      <c r="P2" s="356" t="s">
        <v>564</v>
      </c>
      <c r="Q2" s="357">
        <v>72.91</v>
      </c>
      <c r="V2" s="48" t="s">
        <v>565</v>
      </c>
      <c r="BR2" s="1080" t="s">
        <v>592</v>
      </c>
      <c r="BS2" s="1080"/>
      <c r="BT2" s="1080"/>
    </row>
    <row r="3" spans="1:72" ht="63" x14ac:dyDescent="0.3">
      <c r="B3" s="155" t="s">
        <v>8</v>
      </c>
      <c r="C3" s="156" t="s">
        <v>297</v>
      </c>
      <c r="D3" s="156" t="s">
        <v>298</v>
      </c>
      <c r="E3" s="156" t="s">
        <v>299</v>
      </c>
      <c r="F3" s="155" t="s">
        <v>9</v>
      </c>
      <c r="G3" s="155" t="s">
        <v>300</v>
      </c>
      <c r="I3" s="339" t="s">
        <v>297</v>
      </c>
      <c r="J3" s="339" t="s">
        <v>298</v>
      </c>
      <c r="K3" s="339" t="s">
        <v>299</v>
      </c>
      <c r="L3" s="340" t="s">
        <v>566</v>
      </c>
      <c r="N3" s="1079"/>
      <c r="P3" s="346" t="s">
        <v>567</v>
      </c>
      <c r="Q3" s="155" t="s">
        <v>568</v>
      </c>
      <c r="R3" s="48" t="s">
        <v>1</v>
      </c>
      <c r="U3" s="48" t="s">
        <v>569</v>
      </c>
      <c r="V3" s="48" t="s">
        <v>570</v>
      </c>
      <c r="W3" s="48" t="s">
        <v>571</v>
      </c>
      <c r="X3" s="48" t="s">
        <v>141</v>
      </c>
      <c r="Y3" s="346" t="s">
        <v>572</v>
      </c>
      <c r="AA3" s="48" t="s">
        <v>573</v>
      </c>
      <c r="AB3" s="48" t="s">
        <v>574</v>
      </c>
      <c r="AC3" s="48" t="s">
        <v>571</v>
      </c>
      <c r="AD3" s="48" t="s">
        <v>141</v>
      </c>
      <c r="AE3" s="346" t="s">
        <v>572</v>
      </c>
      <c r="AF3" s="48"/>
      <c r="AG3" s="363" t="s">
        <v>575</v>
      </c>
      <c r="AH3" s="363" t="s">
        <v>576</v>
      </c>
      <c r="AI3" s="362" t="s">
        <v>571</v>
      </c>
      <c r="AJ3" s="362" t="s">
        <v>141</v>
      </c>
      <c r="AK3" s="363" t="s">
        <v>572</v>
      </c>
      <c r="AL3" s="366" t="s">
        <v>335</v>
      </c>
      <c r="AN3" s="346" t="s">
        <v>577</v>
      </c>
      <c r="AO3" s="377" t="s">
        <v>578</v>
      </c>
      <c r="AP3" s="48" t="s">
        <v>571</v>
      </c>
      <c r="AQ3" s="48" t="s">
        <v>141</v>
      </c>
      <c r="AR3" s="346" t="s">
        <v>572</v>
      </c>
      <c r="AS3" s="346" t="s">
        <v>579</v>
      </c>
      <c r="AT3" s="346" t="s">
        <v>580</v>
      </c>
      <c r="AX3" s="377" t="s">
        <v>581</v>
      </c>
      <c r="AY3" s="346" t="s">
        <v>582</v>
      </c>
      <c r="AZ3" s="379" t="s">
        <v>571</v>
      </c>
      <c r="BA3" s="48" t="s">
        <v>141</v>
      </c>
      <c r="BB3" s="346" t="s">
        <v>572</v>
      </c>
      <c r="BE3" s="346" t="s">
        <v>593</v>
      </c>
      <c r="BF3" s="58"/>
      <c r="BG3" s="367" t="s">
        <v>594</v>
      </c>
      <c r="BH3" s="367" t="s">
        <v>595</v>
      </c>
      <c r="BI3" s="367" t="s">
        <v>596</v>
      </c>
      <c r="BJ3" s="58"/>
      <c r="BK3" s="557" t="s">
        <v>597</v>
      </c>
      <c r="BL3" s="346" t="s">
        <v>598</v>
      </c>
      <c r="BM3" s="346" t="s">
        <v>599</v>
      </c>
      <c r="BN3" s="346" t="s">
        <v>600</v>
      </c>
      <c r="BO3" s="346" t="s">
        <v>601</v>
      </c>
      <c r="BP3" s="346" t="s">
        <v>602</v>
      </c>
      <c r="BR3" s="346" t="s">
        <v>603</v>
      </c>
      <c r="BS3" s="346" t="s">
        <v>604</v>
      </c>
      <c r="BT3" s="346" t="s">
        <v>605</v>
      </c>
    </row>
    <row r="4" spans="1:72" x14ac:dyDescent="0.25">
      <c r="Y4" s="48"/>
      <c r="AE4" s="48"/>
      <c r="AG4" s="364"/>
      <c r="AH4" s="364"/>
      <c r="AI4" s="364"/>
      <c r="AJ4" s="364"/>
      <c r="AK4" s="362"/>
      <c r="AL4" s="364"/>
      <c r="AN4" s="154"/>
      <c r="AO4" s="378"/>
      <c r="AP4" s="154"/>
      <c r="AQ4" s="154"/>
      <c r="AR4" s="154"/>
      <c r="AX4" s="378"/>
      <c r="AY4" s="154"/>
      <c r="AZ4" s="378"/>
      <c r="BA4" s="154"/>
      <c r="BB4" s="154"/>
      <c r="BE4" s="48"/>
      <c r="BK4" s="558"/>
      <c r="BR4" s="48"/>
      <c r="BS4" s="48"/>
    </row>
    <row r="5" spans="1:72" x14ac:dyDescent="0.25">
      <c r="A5" s="49" t="s">
        <v>232</v>
      </c>
      <c r="B5" s="48" t="s">
        <v>239</v>
      </c>
      <c r="C5" s="154" t="e">
        <f>(#REF!+1100)/8</f>
        <v>#REF!</v>
      </c>
      <c r="D5" s="154" t="e">
        <f>((#REF!+490)/8)*3</f>
        <v>#REF!</v>
      </c>
      <c r="E5" s="154" t="e">
        <f>#REF!/10/37*6.25*195/224</f>
        <v>#REF!</v>
      </c>
      <c r="F5" s="157" t="e">
        <f>SUM(C5:E5)</f>
        <v>#REF!</v>
      </c>
      <c r="G5" s="49" t="s">
        <v>240</v>
      </c>
      <c r="I5" s="154">
        <v>5389.75</v>
      </c>
      <c r="J5" s="154">
        <v>8314.3681768558963</v>
      </c>
      <c r="K5" s="154">
        <v>300.11777569980694</v>
      </c>
      <c r="L5" s="157">
        <v>14004.235952555704</v>
      </c>
      <c r="N5" s="154" t="e">
        <f>D5+E5-J5-K5</f>
        <v>#REF!</v>
      </c>
      <c r="P5" s="154" t="e">
        <f>C5-I5</f>
        <v>#REF!</v>
      </c>
      <c r="Q5" s="154">
        <f>$Q$1+$Q$2</f>
        <v>557.86</v>
      </c>
      <c r="R5" s="154" t="e">
        <f>P5-Q5</f>
        <v>#REF!</v>
      </c>
      <c r="T5" s="50"/>
      <c r="U5" s="154" t="e">
        <f>(#REF!+1100)/8</f>
        <v>#REF!</v>
      </c>
      <c r="V5" s="154" t="e">
        <f>((#REF!+490)/8)*3</f>
        <v>#REF!</v>
      </c>
      <c r="W5" s="154" t="e">
        <f>#REF!/10/37*6.25*195/224</f>
        <v>#REF!</v>
      </c>
      <c r="X5" s="157" t="e">
        <f>SUM(U5:W5)</f>
        <v>#REF!</v>
      </c>
      <c r="Y5" s="154" t="e">
        <f>X5-L5</f>
        <v>#REF!</v>
      </c>
      <c r="AA5" s="154" t="e">
        <f>(#REF!+1100)/8</f>
        <v>#REF!</v>
      </c>
      <c r="AB5" s="154" t="e">
        <f>((#REF!+490)/8)*3</f>
        <v>#REF!</v>
      </c>
      <c r="AC5" s="154" t="e">
        <f>#REF!/10/37*6.25*195/224</f>
        <v>#REF!</v>
      </c>
      <c r="AD5" s="157" t="e">
        <f>SUM(AA5:AC5)</f>
        <v>#REF!</v>
      </c>
      <c r="AE5" s="154" t="e">
        <f>AD5-L5</f>
        <v>#REF!</v>
      </c>
      <c r="AG5" s="365" t="e">
        <f>(#REF!+1100)/8</f>
        <v>#REF!</v>
      </c>
      <c r="AH5" s="365">
        <v>8674.097652838429</v>
      </c>
      <c r="AI5" s="365" t="e">
        <f>#REF!/10/37*6.25*195/224</f>
        <v>#REF!</v>
      </c>
      <c r="AJ5" s="365" t="e">
        <f>SUM(AG5:AI5)</f>
        <v>#REF!</v>
      </c>
      <c r="AK5" s="365" t="e">
        <f>AJ5-L5</f>
        <v>#REF!</v>
      </c>
      <c r="AL5" s="365" t="e">
        <f>AJ5-F5</f>
        <v>#REF!</v>
      </c>
      <c r="AM5" s="50" t="e">
        <f>AN5-I5</f>
        <v>#REF!</v>
      </c>
      <c r="AN5" s="154" t="e">
        <f>(#REF!+1100)/8</f>
        <v>#REF!</v>
      </c>
      <c r="AO5" s="378" t="e">
        <f>((#REF!+490)/8)*3</f>
        <v>#REF!</v>
      </c>
      <c r="AP5" s="154">
        <f>K5</f>
        <v>300.11777569980694</v>
      </c>
      <c r="AQ5" s="154" t="e">
        <f>SUM(AN5:AP5)</f>
        <v>#REF!</v>
      </c>
      <c r="AR5" s="154" t="e">
        <f>AQ5-L5</f>
        <v>#REF!</v>
      </c>
      <c r="AS5" s="380" t="e">
        <f>AR5/L5</f>
        <v>#REF!</v>
      </c>
      <c r="AT5" s="380" t="e">
        <f>(AO5-J5)/L5</f>
        <v>#REF!</v>
      </c>
      <c r="AU5" s="154" t="e">
        <f>AO5-J5</f>
        <v>#REF!</v>
      </c>
      <c r="AV5" s="50" t="e">
        <f>AO5-J5</f>
        <v>#REF!</v>
      </c>
      <c r="AX5" s="378" t="e">
        <f>(#REF!+1100)/8</f>
        <v>#REF!</v>
      </c>
      <c r="AY5" s="154" t="e">
        <f>((#REF!+490)/8)*3</f>
        <v>#REF!</v>
      </c>
      <c r="AZ5" s="378">
        <f>K5</f>
        <v>300.11777569980694</v>
      </c>
      <c r="BA5" s="154" t="e">
        <f>SUM(AX5:AZ5)</f>
        <v>#REF!</v>
      </c>
      <c r="BB5" s="154" t="e">
        <f>BA5-V5</f>
        <v>#REF!</v>
      </c>
      <c r="BE5" s="154" t="e">
        <f>AX5+AO5+AZ5</f>
        <v>#REF!</v>
      </c>
      <c r="BG5" s="153">
        <f>('2223 TA Pay Scales'!L45+490)/8*3</f>
        <v>8885.4271154475973</v>
      </c>
      <c r="BH5" s="154">
        <f>('2223 Teachers Pay Scales'!K172+1100)/8</f>
        <v>6242.9736972125002</v>
      </c>
      <c r="BI5" s="154">
        <f>AZ5</f>
        <v>300.11777569980694</v>
      </c>
      <c r="BK5" s="559">
        <f>SUM(BG5:BI5)</f>
        <v>15428.518588359904</v>
      </c>
      <c r="BL5" s="608" t="e">
        <f>BN5/L5</f>
        <v>#REF!</v>
      </c>
      <c r="BM5" s="567" t="e">
        <f>BN5/BE5</f>
        <v>#REF!</v>
      </c>
      <c r="BN5" s="154" t="e">
        <f>BK5-BE5</f>
        <v>#REF!</v>
      </c>
      <c r="BO5" s="154">
        <v>299.47109436588289</v>
      </c>
      <c r="BP5" s="154" t="e">
        <f>BN5-BO5</f>
        <v>#REF!</v>
      </c>
      <c r="BR5" s="154">
        <f>('2223 Teachers Pay Scales'!G176)/8</f>
        <v>43.159046215156252</v>
      </c>
      <c r="BS5" s="154">
        <f>('2223 TA Pay Scales'!H49)/8*3</f>
        <v>40.155338943094961</v>
      </c>
      <c r="BT5" s="154">
        <f>SUM(BR5:BS5)</f>
        <v>83.314385158251213</v>
      </c>
    </row>
    <row r="6" spans="1:72" x14ac:dyDescent="0.25">
      <c r="C6" s="154"/>
      <c r="F6" s="154"/>
      <c r="I6" s="154"/>
      <c r="L6" s="154"/>
      <c r="N6" s="154"/>
      <c r="P6" s="154"/>
      <c r="Q6" s="154"/>
      <c r="R6" s="154"/>
      <c r="T6" s="50"/>
      <c r="U6" s="154"/>
      <c r="V6" s="48"/>
      <c r="W6" s="48"/>
      <c r="X6" s="154"/>
      <c r="Y6" s="154"/>
      <c r="AA6" s="154"/>
      <c r="AB6" s="48"/>
      <c r="AC6" s="48"/>
      <c r="AD6" s="154"/>
      <c r="AE6" s="154"/>
      <c r="AG6" s="365"/>
      <c r="AH6" s="362"/>
      <c r="AI6" s="362"/>
      <c r="AJ6" s="365"/>
      <c r="AK6" s="365"/>
      <c r="AL6" s="365"/>
      <c r="AM6" s="50">
        <f t="shared" ref="AM6:AM17" si="0">AN6-I6</f>
        <v>0</v>
      </c>
      <c r="AN6" s="154"/>
      <c r="AO6" s="379"/>
      <c r="AP6" s="154"/>
      <c r="AQ6" s="154"/>
      <c r="AR6" s="154"/>
      <c r="AS6" s="380"/>
      <c r="AT6" s="380"/>
      <c r="AU6" s="154"/>
      <c r="AV6" s="50">
        <f t="shared" ref="AV6:AV24" si="1">AO6-J6</f>
        <v>0</v>
      </c>
      <c r="AX6" s="378"/>
      <c r="AY6" s="48"/>
      <c r="AZ6" s="378"/>
      <c r="BA6" s="154"/>
      <c r="BB6" s="154"/>
      <c r="BE6" s="154"/>
      <c r="BK6" s="558"/>
      <c r="BL6" s="608"/>
      <c r="BM6" s="567"/>
      <c r="BP6" s="154"/>
      <c r="BR6" s="154"/>
      <c r="BS6" s="154"/>
      <c r="BT6" s="154"/>
    </row>
    <row r="7" spans="1:72" x14ac:dyDescent="0.25">
      <c r="C7" s="154"/>
      <c r="D7" s="154"/>
      <c r="E7" s="154"/>
      <c r="F7" s="154"/>
      <c r="I7" s="154"/>
      <c r="J7" s="154"/>
      <c r="K7" s="154"/>
      <c r="L7" s="154"/>
      <c r="N7" s="154"/>
      <c r="P7" s="154"/>
      <c r="Q7" s="154"/>
      <c r="R7" s="154"/>
      <c r="T7" s="50"/>
      <c r="U7" s="154"/>
      <c r="V7" s="154"/>
      <c r="W7" s="154"/>
      <c r="X7" s="154"/>
      <c r="Y7" s="154"/>
      <c r="AA7" s="154"/>
      <c r="AB7" s="154"/>
      <c r="AC7" s="154"/>
      <c r="AD7" s="154"/>
      <c r="AE7" s="154"/>
      <c r="AG7" s="365"/>
      <c r="AH7" s="365"/>
      <c r="AI7" s="365"/>
      <c r="AJ7" s="365"/>
      <c r="AK7" s="365"/>
      <c r="AL7" s="365"/>
      <c r="AM7" s="50">
        <f t="shared" si="0"/>
        <v>0</v>
      </c>
      <c r="AN7" s="154"/>
      <c r="AO7" s="378"/>
      <c r="AP7" s="154"/>
      <c r="AQ7" s="154"/>
      <c r="AR7" s="154"/>
      <c r="AS7" s="380"/>
      <c r="AT7" s="380"/>
      <c r="AU7" s="154"/>
      <c r="AV7" s="50">
        <f t="shared" si="1"/>
        <v>0</v>
      </c>
      <c r="AX7" s="378"/>
      <c r="AY7" s="154"/>
      <c r="AZ7" s="378"/>
      <c r="BA7" s="154"/>
      <c r="BB7" s="154"/>
      <c r="BE7" s="154"/>
      <c r="BK7" s="558"/>
      <c r="BL7" s="608"/>
      <c r="BM7" s="567"/>
      <c r="BP7" s="154"/>
      <c r="BR7" s="154"/>
      <c r="BS7" s="154"/>
      <c r="BT7" s="154"/>
    </row>
    <row r="8" spans="1:72" x14ac:dyDescent="0.25">
      <c r="A8" s="49" t="s">
        <v>230</v>
      </c>
      <c r="B8" s="48" t="s">
        <v>11</v>
      </c>
      <c r="C8" s="154" t="e">
        <f>(#REF!+1100)/10</f>
        <v>#REF!</v>
      </c>
      <c r="D8" s="154" t="e">
        <f>(#REF!+490)/10</f>
        <v>#REF!</v>
      </c>
      <c r="E8" s="154" t="e">
        <f>#REF!/10/37*6.25*195/224</f>
        <v>#REF!</v>
      </c>
      <c r="F8" s="157" t="e">
        <f>SUM(C8:E8)</f>
        <v>#REF!</v>
      </c>
      <c r="G8" s="49" t="s">
        <v>583</v>
      </c>
      <c r="I8" s="154">
        <v>4311.8</v>
      </c>
      <c r="J8" s="154">
        <v>2217.1648471615722</v>
      </c>
      <c r="K8" s="154">
        <v>300.11777569980694</v>
      </c>
      <c r="L8" s="157">
        <v>6829.0826228613796</v>
      </c>
      <c r="N8" s="154" t="e">
        <f>D8+E8-J8-K8</f>
        <v>#REF!</v>
      </c>
      <c r="P8" s="154" t="e">
        <f>C8-I8</f>
        <v>#REF!</v>
      </c>
      <c r="Q8" s="154">
        <f>$Q$1+$Q$2</f>
        <v>557.86</v>
      </c>
      <c r="R8" s="154" t="e">
        <f>P8-Q8</f>
        <v>#REF!</v>
      </c>
      <c r="T8" s="50"/>
      <c r="U8" s="154" t="e">
        <f>(#REF!+1100)/10</f>
        <v>#REF!</v>
      </c>
      <c r="V8" s="154" t="e">
        <f>(#REF!+490)/10</f>
        <v>#REF!</v>
      </c>
      <c r="W8" s="154" t="e">
        <f>#REF!/10/37*6.25*195/224</f>
        <v>#REF!</v>
      </c>
      <c r="X8" s="157" t="e">
        <f>SUM(U8:W8)</f>
        <v>#REF!</v>
      </c>
      <c r="Y8" s="154" t="e">
        <f>X8-L8</f>
        <v>#REF!</v>
      </c>
      <c r="AA8" s="154" t="e">
        <f>(#REF!+1100)/10</f>
        <v>#REF!</v>
      </c>
      <c r="AB8" s="154" t="e">
        <f>(#REF!+490)/10</f>
        <v>#REF!</v>
      </c>
      <c r="AC8" s="154" t="e">
        <f>#REF!/10/37*6.25*195/224</f>
        <v>#REF!</v>
      </c>
      <c r="AD8" s="157" t="e">
        <f>SUM(AA8:AC8)</f>
        <v>#REF!</v>
      </c>
      <c r="AE8" s="154" t="e">
        <f>AD8-L8</f>
        <v>#REF!</v>
      </c>
      <c r="AG8" s="365" t="e">
        <f>(#REF!+1100)/10</f>
        <v>#REF!</v>
      </c>
      <c r="AH8" s="365">
        <v>2313.092707423581</v>
      </c>
      <c r="AI8" s="365" t="e">
        <f>#REF!/10/37*6.25*195/224</f>
        <v>#REF!</v>
      </c>
      <c r="AJ8" s="365" t="e">
        <f>SUM(AG8:AI8)</f>
        <v>#REF!</v>
      </c>
      <c r="AK8" s="365" t="e">
        <f t="shared" ref="AK8:AK17" si="2">AJ8-L8</f>
        <v>#REF!</v>
      </c>
      <c r="AL8" s="365" t="e">
        <f t="shared" ref="AL8:AL17" si="3">AJ8-F8</f>
        <v>#REF!</v>
      </c>
      <c r="AM8" s="50" t="e">
        <f t="shared" si="0"/>
        <v>#REF!</v>
      </c>
      <c r="AN8" s="154" t="e">
        <f>(#REF!+1100)/10</f>
        <v>#REF!</v>
      </c>
      <c r="AO8" s="378" t="e">
        <f>(#REF!+490)/10</f>
        <v>#REF!</v>
      </c>
      <c r="AP8" s="154">
        <f t="shared" ref="AP8:AP22" si="4">K8</f>
        <v>300.11777569980694</v>
      </c>
      <c r="AQ8" s="154" t="e">
        <f t="shared" ref="AQ8:AQ24" si="5">SUM(AN8:AP8)</f>
        <v>#REF!</v>
      </c>
      <c r="AR8" s="154" t="e">
        <f t="shared" ref="AR8:AR17" si="6">AQ8-L8</f>
        <v>#REF!</v>
      </c>
      <c r="AS8" s="380" t="e">
        <f t="shared" ref="AS8:AS17" si="7">AR8/L8</f>
        <v>#REF!</v>
      </c>
      <c r="AT8" s="380" t="e">
        <f t="shared" ref="AT8:AT17" si="8">(AO8-J8)/L8</f>
        <v>#REF!</v>
      </c>
      <c r="AU8" s="154" t="e">
        <f t="shared" ref="AU8:AU22" si="9">AO8-J8</f>
        <v>#REF!</v>
      </c>
      <c r="AV8" s="50" t="e">
        <f t="shared" si="1"/>
        <v>#REF!</v>
      </c>
      <c r="AX8" s="378" t="e">
        <f>(#REF!+1100)/10</f>
        <v>#REF!</v>
      </c>
      <c r="AY8" s="154" t="e">
        <f>(#REF!+490)/10</f>
        <v>#REF!</v>
      </c>
      <c r="AZ8" s="378">
        <f t="shared" ref="AZ8:AZ28" si="10">K8</f>
        <v>300.11777569980694</v>
      </c>
      <c r="BA8" s="154" t="e">
        <f t="shared" ref="BA8" si="11">SUM(AX8:AZ8)</f>
        <v>#REF!</v>
      </c>
      <c r="BB8" s="154" t="e">
        <f t="shared" ref="BB8" si="12">BA8-V8</f>
        <v>#REF!</v>
      </c>
      <c r="BE8" s="154" t="e">
        <f t="shared" ref="BE8:BE24" si="13">AX8+AO8+AZ8</f>
        <v>#REF!</v>
      </c>
      <c r="BG8" s="153">
        <f>('2223 TA Pay Scales'!L45+490)/10</f>
        <v>2369.447230786026</v>
      </c>
      <c r="BH8" s="154">
        <f>('2223 Teachers Pay Scales'!K172+1100)/10</f>
        <v>4994.3789577699999</v>
      </c>
      <c r="BI8" s="154">
        <f>AZ8</f>
        <v>300.11777569980694</v>
      </c>
      <c r="BK8" s="559">
        <f>SUM(BG8:BI8)</f>
        <v>7663.9439642558327</v>
      </c>
      <c r="BL8" s="608" t="e">
        <f t="shared" ref="BL8:BL30" si="14">BN8/L8</f>
        <v>#REF!</v>
      </c>
      <c r="BM8" s="567" t="e">
        <f t="shared" ref="BM8:BM30" si="15">BN8/BE8</f>
        <v>#REF!</v>
      </c>
      <c r="BN8" s="154" t="e">
        <f>BK8-BE8</f>
        <v>#REF!</v>
      </c>
      <c r="BO8" s="154">
        <v>145.32012134423621</v>
      </c>
      <c r="BP8" s="154" t="e">
        <f t="shared" ref="BP8:BP30" si="16">BN8-BO8</f>
        <v>#REF!</v>
      </c>
      <c r="BR8" s="154">
        <f>('2223 Teachers Pay Scales'!G176)/10</f>
        <v>34.527236972125003</v>
      </c>
      <c r="BS8" s="154">
        <f>('2223 TA Pay Scales'!H49)/10</f>
        <v>10.708090384825322</v>
      </c>
      <c r="BT8" s="154">
        <f t="shared" ref="BT8:BT30" si="17">SUM(BR8:BS8)</f>
        <v>45.235327356950322</v>
      </c>
    </row>
    <row r="9" spans="1:72" x14ac:dyDescent="0.25">
      <c r="C9" s="154"/>
      <c r="D9" s="154"/>
      <c r="E9" s="154"/>
      <c r="F9" s="154"/>
      <c r="I9" s="154"/>
      <c r="J9" s="154"/>
      <c r="K9" s="154"/>
      <c r="L9" s="154"/>
      <c r="N9" s="154"/>
      <c r="P9" s="154"/>
      <c r="Q9" s="154"/>
      <c r="R9" s="154"/>
      <c r="T9" s="50"/>
      <c r="U9" s="154"/>
      <c r="V9" s="154"/>
      <c r="W9" s="154"/>
      <c r="X9" s="154"/>
      <c r="Y9" s="154"/>
      <c r="AA9" s="154"/>
      <c r="AB9" s="154"/>
      <c r="AC9" s="154"/>
      <c r="AD9" s="154"/>
      <c r="AE9" s="154"/>
      <c r="AG9" s="365"/>
      <c r="AH9" s="365"/>
      <c r="AI9" s="365"/>
      <c r="AJ9" s="365"/>
      <c r="AK9" s="365"/>
      <c r="AL9" s="365"/>
      <c r="AM9" s="50">
        <f t="shared" si="0"/>
        <v>0</v>
      </c>
      <c r="AN9" s="154"/>
      <c r="AO9" s="378"/>
      <c r="AP9" s="154"/>
      <c r="AQ9" s="154"/>
      <c r="AR9" s="154"/>
      <c r="AS9" s="380"/>
      <c r="AT9" s="380"/>
      <c r="AU9" s="154"/>
      <c r="AV9" s="50">
        <f t="shared" si="1"/>
        <v>0</v>
      </c>
      <c r="AX9" s="378"/>
      <c r="AY9" s="154"/>
      <c r="AZ9" s="378"/>
      <c r="BA9" s="154"/>
      <c r="BB9" s="154"/>
      <c r="BE9" s="154"/>
      <c r="BK9" s="558"/>
      <c r="BL9" s="608"/>
      <c r="BM9" s="567"/>
      <c r="BP9" s="154"/>
      <c r="BR9" s="154"/>
      <c r="BS9" s="154"/>
      <c r="BT9" s="154"/>
    </row>
    <row r="10" spans="1:72" x14ac:dyDescent="0.25">
      <c r="C10" s="154"/>
      <c r="D10" s="154"/>
      <c r="E10" s="154"/>
      <c r="F10" s="154"/>
      <c r="I10" s="154"/>
      <c r="J10" s="154"/>
      <c r="K10" s="154"/>
      <c r="L10" s="154"/>
      <c r="N10" s="154"/>
      <c r="P10" s="154"/>
      <c r="Q10" s="154"/>
      <c r="R10" s="154"/>
      <c r="T10" s="50"/>
      <c r="U10" s="154"/>
      <c r="V10" s="154"/>
      <c r="W10" s="154"/>
      <c r="X10" s="154"/>
      <c r="Y10" s="154"/>
      <c r="AA10" s="154"/>
      <c r="AB10" s="154"/>
      <c r="AC10" s="154"/>
      <c r="AD10" s="154"/>
      <c r="AE10" s="154"/>
      <c r="AG10" s="365"/>
      <c r="AH10" s="365"/>
      <c r="AI10" s="365"/>
      <c r="AJ10" s="365"/>
      <c r="AK10" s="365"/>
      <c r="AL10" s="365"/>
      <c r="AM10" s="50">
        <f t="shared" si="0"/>
        <v>0</v>
      </c>
      <c r="AN10" s="154"/>
      <c r="AO10" s="378"/>
      <c r="AP10" s="154"/>
      <c r="AQ10" s="154"/>
      <c r="AR10" s="154"/>
      <c r="AS10" s="380"/>
      <c r="AT10" s="380"/>
      <c r="AU10" s="154"/>
      <c r="AV10" s="50">
        <f t="shared" si="1"/>
        <v>0</v>
      </c>
      <c r="AX10" s="378"/>
      <c r="AY10" s="154"/>
      <c r="AZ10" s="378"/>
      <c r="BA10" s="154"/>
      <c r="BB10" s="154"/>
      <c r="BE10" s="154"/>
      <c r="BK10" s="558"/>
      <c r="BL10" s="608"/>
      <c r="BM10" s="567"/>
      <c r="BP10" s="154"/>
      <c r="BR10" s="154"/>
      <c r="BS10" s="154"/>
      <c r="BT10" s="154"/>
    </row>
    <row r="11" spans="1:72" x14ac:dyDescent="0.25">
      <c r="A11" s="49" t="s">
        <v>229</v>
      </c>
      <c r="B11" s="48" t="s">
        <v>12</v>
      </c>
      <c r="C11" s="154" t="e">
        <f>(#REF!+1100)/12</f>
        <v>#REF!</v>
      </c>
      <c r="D11" s="154" t="e">
        <f>(#REF!+490)/12</f>
        <v>#REF!</v>
      </c>
      <c r="E11" s="154" t="e">
        <f>#REF!/10/37*6.25*195/224</f>
        <v>#REF!</v>
      </c>
      <c r="F11" s="157" t="e">
        <f>SUM(C11:E11)</f>
        <v>#REF!</v>
      </c>
      <c r="G11" s="49" t="s">
        <v>42</v>
      </c>
      <c r="H11" s="50"/>
      <c r="I11" s="154">
        <v>3593.1666666666665</v>
      </c>
      <c r="J11" s="154">
        <v>1847.6373726346435</v>
      </c>
      <c r="K11" s="154">
        <v>300.11777569980694</v>
      </c>
      <c r="L11" s="157">
        <v>5740.9218150011166</v>
      </c>
      <c r="N11" s="154" t="e">
        <f>D11+E11-J11-K11</f>
        <v>#REF!</v>
      </c>
      <c r="P11" s="154" t="e">
        <f>C11-I11</f>
        <v>#REF!</v>
      </c>
      <c r="Q11" s="154">
        <f>$Q$1+$Q$2</f>
        <v>557.86</v>
      </c>
      <c r="R11" s="154" t="e">
        <f>P11-Q11</f>
        <v>#REF!</v>
      </c>
      <c r="T11" s="50"/>
      <c r="U11" s="154" t="e">
        <f>(#REF!+1100)/12</f>
        <v>#REF!</v>
      </c>
      <c r="V11" s="154" t="e">
        <f>(#REF!+490)/12</f>
        <v>#REF!</v>
      </c>
      <c r="W11" s="154" t="e">
        <f>#REF!/10/37*6.25*195/224</f>
        <v>#REF!</v>
      </c>
      <c r="X11" s="157" t="e">
        <f>SUM(U11:W11)</f>
        <v>#REF!</v>
      </c>
      <c r="Y11" s="154" t="e">
        <f>X11-L11</f>
        <v>#REF!</v>
      </c>
      <c r="AA11" s="154" t="e">
        <f>(#REF!+1100)/12</f>
        <v>#REF!</v>
      </c>
      <c r="AB11" s="154" t="e">
        <f>(#REF!+490)/12</f>
        <v>#REF!</v>
      </c>
      <c r="AC11" s="154" t="e">
        <f>#REF!/10/37*6.25*195/224</f>
        <v>#REF!</v>
      </c>
      <c r="AD11" s="157" t="e">
        <f>SUM(AA11:AC11)</f>
        <v>#REF!</v>
      </c>
      <c r="AE11" s="154" t="e">
        <f>AD11-L11</f>
        <v>#REF!</v>
      </c>
      <c r="AG11" s="365" t="e">
        <f>(#REF!+1100)/12</f>
        <v>#REF!</v>
      </c>
      <c r="AH11" s="365">
        <v>1927.5772561863175</v>
      </c>
      <c r="AI11" s="365" t="e">
        <f>#REF!/10/37*6.25*195/224</f>
        <v>#REF!</v>
      </c>
      <c r="AJ11" s="365" t="e">
        <f>SUM(AG11:AI11)</f>
        <v>#REF!</v>
      </c>
      <c r="AK11" s="365" t="e">
        <f t="shared" si="2"/>
        <v>#REF!</v>
      </c>
      <c r="AL11" s="365" t="e">
        <f t="shared" si="3"/>
        <v>#REF!</v>
      </c>
      <c r="AM11" s="50" t="e">
        <f t="shared" si="0"/>
        <v>#REF!</v>
      </c>
      <c r="AN11" s="154" t="e">
        <f>(#REF!+1100)/12</f>
        <v>#REF!</v>
      </c>
      <c r="AO11" s="378" t="e">
        <f>(#REF!+490)/12</f>
        <v>#REF!</v>
      </c>
      <c r="AP11" s="154">
        <f t="shared" si="4"/>
        <v>300.11777569980694</v>
      </c>
      <c r="AQ11" s="154" t="e">
        <f t="shared" si="5"/>
        <v>#REF!</v>
      </c>
      <c r="AR11" s="154" t="e">
        <f t="shared" si="6"/>
        <v>#REF!</v>
      </c>
      <c r="AS11" s="380" t="e">
        <f t="shared" si="7"/>
        <v>#REF!</v>
      </c>
      <c r="AT11" s="380" t="e">
        <f t="shared" si="8"/>
        <v>#REF!</v>
      </c>
      <c r="AU11" s="154" t="e">
        <f t="shared" si="9"/>
        <v>#REF!</v>
      </c>
      <c r="AV11" s="50" t="e">
        <f t="shared" si="1"/>
        <v>#REF!</v>
      </c>
      <c r="AX11" s="378" t="e">
        <f>(#REF!+1100)/12</f>
        <v>#REF!</v>
      </c>
      <c r="AY11" s="154" t="e">
        <f>(#REF!+490)/12</f>
        <v>#REF!</v>
      </c>
      <c r="AZ11" s="378">
        <f t="shared" si="10"/>
        <v>300.11777569980694</v>
      </c>
      <c r="BA11" s="154" t="e">
        <f t="shared" ref="BA11" si="18">SUM(AX11:AZ11)</f>
        <v>#REF!</v>
      </c>
      <c r="BB11" s="154" t="e">
        <f t="shared" ref="BB11" si="19">BA11-V11</f>
        <v>#REF!</v>
      </c>
      <c r="BE11" s="154" t="e">
        <f t="shared" si="13"/>
        <v>#REF!</v>
      </c>
      <c r="BG11" s="153">
        <f>('2223 TA Pay Scales'!L45+490)/12</f>
        <v>1974.5393589883552</v>
      </c>
      <c r="BH11" s="154">
        <f>('2223 Teachers Pay Scales'!K172+1100)/12</f>
        <v>4161.9824648083331</v>
      </c>
      <c r="BI11" s="154">
        <f>AZ11</f>
        <v>300.11777569980694</v>
      </c>
      <c r="BK11" s="559">
        <f>SUM(BG11:BI11)</f>
        <v>6436.6395994964951</v>
      </c>
      <c r="BL11" s="608" t="e">
        <f t="shared" si="14"/>
        <v>#REF!</v>
      </c>
      <c r="BM11" s="567" t="e">
        <f t="shared" si="15"/>
        <v>#REF!</v>
      </c>
      <c r="BN11" s="154" t="e">
        <f>BK11-BE11</f>
        <v>#REF!</v>
      </c>
      <c r="BO11" s="154">
        <v>121.10010112019609</v>
      </c>
      <c r="BP11" s="154" t="e">
        <f t="shared" si="16"/>
        <v>#REF!</v>
      </c>
      <c r="BR11" s="154">
        <f>('2223 Teachers Pay Scales'!G176)/12</f>
        <v>28.772697476770833</v>
      </c>
      <c r="BS11" s="154">
        <f>('2223 TA Pay Scales'!H49)/12</f>
        <v>8.9234086540211024</v>
      </c>
      <c r="BT11" s="154">
        <f t="shared" si="17"/>
        <v>37.696106130791932</v>
      </c>
    </row>
    <row r="12" spans="1:72" x14ac:dyDescent="0.25">
      <c r="C12" s="154"/>
      <c r="D12" s="154"/>
      <c r="E12" s="154"/>
      <c r="F12" s="154"/>
      <c r="I12" s="154"/>
      <c r="J12" s="154"/>
      <c r="K12" s="154"/>
      <c r="L12" s="154"/>
      <c r="N12" s="154"/>
      <c r="P12" s="154"/>
      <c r="Q12" s="154"/>
      <c r="R12" s="154"/>
      <c r="T12" s="50"/>
      <c r="U12" s="154"/>
      <c r="V12" s="154"/>
      <c r="W12" s="154"/>
      <c r="X12" s="154"/>
      <c r="Y12" s="154"/>
      <c r="AA12" s="154"/>
      <c r="AB12" s="154"/>
      <c r="AC12" s="154"/>
      <c r="AD12" s="154"/>
      <c r="AE12" s="154"/>
      <c r="AG12" s="365"/>
      <c r="AH12" s="365"/>
      <c r="AI12" s="365"/>
      <c r="AJ12" s="365"/>
      <c r="AK12" s="365"/>
      <c r="AL12" s="365"/>
      <c r="AM12" s="50">
        <f t="shared" si="0"/>
        <v>0</v>
      </c>
      <c r="AN12" s="154"/>
      <c r="AO12" s="378"/>
      <c r="AP12" s="154"/>
      <c r="AQ12" s="154"/>
      <c r="AR12" s="154"/>
      <c r="AS12" s="380"/>
      <c r="AT12" s="380"/>
      <c r="AU12" s="154"/>
      <c r="AV12" s="50">
        <f t="shared" si="1"/>
        <v>0</v>
      </c>
      <c r="AX12" s="378"/>
      <c r="AY12" s="154"/>
      <c r="AZ12" s="378"/>
      <c r="BA12" s="154"/>
      <c r="BB12" s="154"/>
      <c r="BE12" s="154"/>
      <c r="BK12" s="558"/>
      <c r="BL12" s="608"/>
      <c r="BM12" s="567"/>
      <c r="BP12" s="154"/>
      <c r="BR12" s="154"/>
      <c r="BS12" s="154"/>
      <c r="BT12" s="154"/>
    </row>
    <row r="13" spans="1:72" x14ac:dyDescent="0.25">
      <c r="C13" s="154"/>
      <c r="D13" s="154"/>
      <c r="E13" s="154"/>
      <c r="F13" s="154"/>
      <c r="I13" s="154"/>
      <c r="J13" s="154"/>
      <c r="K13" s="154"/>
      <c r="L13" s="154"/>
      <c r="N13" s="154"/>
      <c r="P13" s="154"/>
      <c r="Q13" s="154"/>
      <c r="R13" s="154"/>
      <c r="T13" s="50"/>
      <c r="U13" s="154"/>
      <c r="V13" s="154"/>
      <c r="W13" s="154"/>
      <c r="X13" s="154"/>
      <c r="Y13" s="154"/>
      <c r="AA13" s="154"/>
      <c r="AB13" s="154"/>
      <c r="AC13" s="154"/>
      <c r="AD13" s="154"/>
      <c r="AE13" s="154"/>
      <c r="AG13" s="365"/>
      <c r="AH13" s="365"/>
      <c r="AI13" s="365"/>
      <c r="AJ13" s="365"/>
      <c r="AK13" s="365"/>
      <c r="AL13" s="365"/>
      <c r="AM13" s="50">
        <f t="shared" si="0"/>
        <v>0</v>
      </c>
      <c r="AN13" s="154"/>
      <c r="AO13" s="378"/>
      <c r="AP13" s="154"/>
      <c r="AQ13" s="154"/>
      <c r="AR13" s="154"/>
      <c r="AS13" s="380"/>
      <c r="AT13" s="380"/>
      <c r="AU13" s="154"/>
      <c r="AV13" s="50">
        <f t="shared" si="1"/>
        <v>0</v>
      </c>
      <c r="AX13" s="378"/>
      <c r="AY13" s="154"/>
      <c r="AZ13" s="378"/>
      <c r="BA13" s="154"/>
      <c r="BB13" s="154"/>
      <c r="BE13" s="154"/>
      <c r="BK13" s="558"/>
      <c r="BL13" s="608"/>
      <c r="BM13" s="567"/>
      <c r="BP13" s="154"/>
      <c r="BR13" s="154"/>
      <c r="BS13" s="154"/>
      <c r="BT13" s="154"/>
    </row>
    <row r="14" spans="1:72" x14ac:dyDescent="0.25">
      <c r="A14" s="49" t="s">
        <v>233</v>
      </c>
      <c r="B14" s="48" t="s">
        <v>239</v>
      </c>
      <c r="C14" s="154" t="e">
        <f>(#REF!+1100)/8</f>
        <v>#REF!</v>
      </c>
      <c r="D14" s="154" t="e">
        <f>((#REF!+490)/8)*3</f>
        <v>#REF!</v>
      </c>
      <c r="E14" s="154" t="e">
        <f>#REF!/10/37*6.25*195/224</f>
        <v>#REF!</v>
      </c>
      <c r="F14" s="157" t="e">
        <f>SUM(C14:E14)</f>
        <v>#REF!</v>
      </c>
      <c r="G14" s="49" t="s">
        <v>240</v>
      </c>
      <c r="I14" s="154">
        <v>5389.75</v>
      </c>
      <c r="J14" s="154">
        <v>8314.3681768558963</v>
      </c>
      <c r="K14" s="154">
        <v>300.11777569980694</v>
      </c>
      <c r="L14" s="157">
        <v>14004.235952555704</v>
      </c>
      <c r="N14" s="154" t="e">
        <f>D14+E14-J14-K14</f>
        <v>#REF!</v>
      </c>
      <c r="P14" s="154" t="e">
        <f>C14-I14</f>
        <v>#REF!</v>
      </c>
      <c r="Q14" s="154">
        <f>$Q$1+$Q$2</f>
        <v>557.86</v>
      </c>
      <c r="R14" s="154" t="e">
        <f>P14-Q14</f>
        <v>#REF!</v>
      </c>
      <c r="T14" s="50"/>
      <c r="U14" s="154" t="e">
        <f>(#REF!+1100)/8</f>
        <v>#REF!</v>
      </c>
      <c r="V14" s="154" t="e">
        <f>(#REF!+490)/8*3</f>
        <v>#REF!</v>
      </c>
      <c r="W14" s="154" t="e">
        <f>#REF!/10/37*6.25*195/224</f>
        <v>#REF!</v>
      </c>
      <c r="X14" s="157" t="e">
        <f>SUM(U14:W14)</f>
        <v>#REF!</v>
      </c>
      <c r="Y14" s="154" t="e">
        <f>X14-L14</f>
        <v>#REF!</v>
      </c>
      <c r="AA14" s="154" t="e">
        <f>(#REF!+1100)/8</f>
        <v>#REF!</v>
      </c>
      <c r="AB14" s="154" t="e">
        <f>((#REF!+490)/8)*3</f>
        <v>#REF!</v>
      </c>
      <c r="AC14" s="154" t="e">
        <f>#REF!/10/37*6.25*195/224</f>
        <v>#REF!</v>
      </c>
      <c r="AD14" s="157" t="e">
        <f>SUM(AA14:AC14)</f>
        <v>#REF!</v>
      </c>
      <c r="AE14" s="154" t="e">
        <f>AD14-L14</f>
        <v>#REF!</v>
      </c>
      <c r="AG14" s="365" t="e">
        <f>(#REF!+1100)/8</f>
        <v>#REF!</v>
      </c>
      <c r="AH14" s="365">
        <v>8674.097652838429</v>
      </c>
      <c r="AI14" s="365" t="e">
        <f>#REF!/10/37*6.25*195/224</f>
        <v>#REF!</v>
      </c>
      <c r="AJ14" s="365" t="e">
        <f>SUM(AG14:AI14)</f>
        <v>#REF!</v>
      </c>
      <c r="AK14" s="365" t="e">
        <f t="shared" si="2"/>
        <v>#REF!</v>
      </c>
      <c r="AL14" s="365" t="e">
        <f t="shared" si="3"/>
        <v>#REF!</v>
      </c>
      <c r="AM14" s="50" t="e">
        <f t="shared" si="0"/>
        <v>#REF!</v>
      </c>
      <c r="AN14" s="154" t="e">
        <f>(#REF!+1100)/8</f>
        <v>#REF!</v>
      </c>
      <c r="AO14" s="378" t="e">
        <f>(#REF!+490)/8*3</f>
        <v>#REF!</v>
      </c>
      <c r="AP14" s="154">
        <f t="shared" si="4"/>
        <v>300.11777569980694</v>
      </c>
      <c r="AQ14" s="154" t="e">
        <f t="shared" si="5"/>
        <v>#REF!</v>
      </c>
      <c r="AR14" s="154" t="e">
        <f t="shared" si="6"/>
        <v>#REF!</v>
      </c>
      <c r="AS14" s="380" t="e">
        <f t="shared" si="7"/>
        <v>#REF!</v>
      </c>
      <c r="AT14" s="380" t="e">
        <f t="shared" si="8"/>
        <v>#REF!</v>
      </c>
      <c r="AU14" s="154" t="e">
        <f t="shared" si="9"/>
        <v>#REF!</v>
      </c>
      <c r="AV14" s="50" t="e">
        <f t="shared" si="1"/>
        <v>#REF!</v>
      </c>
      <c r="AX14" s="378" t="e">
        <f>(#REF!+1100)/8</f>
        <v>#REF!</v>
      </c>
      <c r="AY14" s="154" t="e">
        <f>(#REF!+490)/8*3</f>
        <v>#REF!</v>
      </c>
      <c r="AZ14" s="378">
        <f t="shared" si="10"/>
        <v>300.11777569980694</v>
      </c>
      <c r="BA14" s="154" t="e">
        <f t="shared" ref="BA14" si="20">SUM(AX14:AZ14)</f>
        <v>#REF!</v>
      </c>
      <c r="BB14" s="154" t="e">
        <f t="shared" ref="BB14" si="21">BA14-V14</f>
        <v>#REF!</v>
      </c>
      <c r="BE14" s="154" t="e">
        <f t="shared" si="13"/>
        <v>#REF!</v>
      </c>
      <c r="BG14" s="153">
        <f>('2223 TA Pay Scales'!L45+490)/8*3</f>
        <v>8885.4271154475973</v>
      </c>
      <c r="BH14" s="154">
        <f>('2223 Teachers Pay Scales'!K172+1100)/8</f>
        <v>6242.9736972125002</v>
      </c>
      <c r="BI14" s="154">
        <f>AZ14</f>
        <v>300.11777569980694</v>
      </c>
      <c r="BK14" s="559">
        <f>SUM(BG14:BI14)</f>
        <v>15428.518588359904</v>
      </c>
      <c r="BL14" s="608" t="e">
        <f t="shared" si="14"/>
        <v>#REF!</v>
      </c>
      <c r="BM14" s="567" t="e">
        <f t="shared" si="15"/>
        <v>#REF!</v>
      </c>
      <c r="BN14" s="154" t="e">
        <f>BK14-BE14</f>
        <v>#REF!</v>
      </c>
      <c r="BO14" s="154">
        <v>299.47109436588289</v>
      </c>
      <c r="BP14" s="154" t="e">
        <f t="shared" si="16"/>
        <v>#REF!</v>
      </c>
      <c r="BR14" s="154">
        <f>('2223 Teachers Pay Scales'!G176)/8</f>
        <v>43.159046215156252</v>
      </c>
      <c r="BS14" s="154">
        <f>('2223 TA Pay Scales'!H49)/8*3</f>
        <v>40.155338943094961</v>
      </c>
      <c r="BT14" s="154">
        <f t="shared" si="17"/>
        <v>83.314385158251213</v>
      </c>
    </row>
    <row r="15" spans="1:72" x14ac:dyDescent="0.25">
      <c r="C15" s="154"/>
      <c r="D15" s="154"/>
      <c r="E15" s="154"/>
      <c r="F15" s="154"/>
      <c r="I15" s="154"/>
      <c r="J15" s="154"/>
      <c r="K15" s="154"/>
      <c r="L15" s="154"/>
      <c r="N15" s="154"/>
      <c r="P15" s="154"/>
      <c r="Q15" s="154"/>
      <c r="R15" s="154"/>
      <c r="T15" s="50"/>
      <c r="U15" s="154"/>
      <c r="V15" s="154"/>
      <c r="W15" s="154"/>
      <c r="X15" s="154"/>
      <c r="Y15" s="154"/>
      <c r="AA15" s="154"/>
      <c r="AB15" s="154"/>
      <c r="AC15" s="154"/>
      <c r="AD15" s="154"/>
      <c r="AE15" s="154"/>
      <c r="AG15" s="365"/>
      <c r="AH15" s="365"/>
      <c r="AI15" s="365"/>
      <c r="AJ15" s="365"/>
      <c r="AK15" s="365"/>
      <c r="AL15" s="365"/>
      <c r="AM15" s="50">
        <f t="shared" si="0"/>
        <v>0</v>
      </c>
      <c r="AN15" s="154"/>
      <c r="AO15" s="378"/>
      <c r="AP15" s="154"/>
      <c r="AQ15" s="154"/>
      <c r="AR15" s="154"/>
      <c r="AS15" s="380"/>
      <c r="AT15" s="380"/>
      <c r="AU15" s="154"/>
      <c r="AV15" s="50">
        <f t="shared" si="1"/>
        <v>0</v>
      </c>
      <c r="AX15" s="378"/>
      <c r="AY15" s="154"/>
      <c r="AZ15" s="378"/>
      <c r="BA15" s="154"/>
      <c r="BB15" s="154"/>
      <c r="BE15" s="154"/>
      <c r="BK15" s="558"/>
      <c r="BL15" s="608"/>
      <c r="BM15" s="567"/>
      <c r="BP15" s="154"/>
      <c r="BR15" s="154"/>
      <c r="BS15" s="154"/>
      <c r="BT15" s="154"/>
    </row>
    <row r="16" spans="1:72" x14ac:dyDescent="0.25">
      <c r="C16" s="154"/>
      <c r="D16" s="154"/>
      <c r="E16" s="154"/>
      <c r="F16" s="154"/>
      <c r="I16" s="154"/>
      <c r="J16" s="154"/>
      <c r="K16" s="154"/>
      <c r="L16" s="154"/>
      <c r="N16" s="154"/>
      <c r="P16" s="154"/>
      <c r="Q16" s="154"/>
      <c r="R16" s="154"/>
      <c r="T16" s="50"/>
      <c r="U16" s="154"/>
      <c r="V16" s="154"/>
      <c r="W16" s="154"/>
      <c r="X16" s="154"/>
      <c r="Y16" s="154"/>
      <c r="AA16" s="154"/>
      <c r="AB16" s="154"/>
      <c r="AC16" s="154"/>
      <c r="AD16" s="154"/>
      <c r="AE16" s="154"/>
      <c r="AG16" s="365"/>
      <c r="AH16" s="365"/>
      <c r="AI16" s="365"/>
      <c r="AJ16" s="365"/>
      <c r="AK16" s="365"/>
      <c r="AL16" s="365"/>
      <c r="AM16" s="50">
        <f t="shared" si="0"/>
        <v>0</v>
      </c>
      <c r="AN16" s="154"/>
      <c r="AO16" s="378"/>
      <c r="AP16" s="154"/>
      <c r="AQ16" s="154"/>
      <c r="AR16" s="154"/>
      <c r="AS16" s="380"/>
      <c r="AT16" s="380"/>
      <c r="AU16" s="154"/>
      <c r="AV16" s="50">
        <f t="shared" si="1"/>
        <v>0</v>
      </c>
      <c r="AX16" s="378"/>
      <c r="AY16" s="154"/>
      <c r="AZ16" s="378"/>
      <c r="BA16" s="154"/>
      <c r="BB16" s="154"/>
      <c r="BE16" s="154"/>
      <c r="BK16" s="558"/>
      <c r="BL16" s="608"/>
      <c r="BM16" s="567"/>
      <c r="BP16" s="154"/>
      <c r="BR16" s="154"/>
      <c r="BS16" s="154"/>
      <c r="BT16" s="154"/>
    </row>
    <row r="17" spans="1:72" x14ac:dyDescent="0.25">
      <c r="A17" s="49" t="s">
        <v>231</v>
      </c>
      <c r="B17" s="48" t="s">
        <v>10</v>
      </c>
      <c r="C17" s="154" t="e">
        <f>(#REF!+1100)/10</f>
        <v>#REF!</v>
      </c>
      <c r="D17" s="154" t="e">
        <f>((#REF!+490)/10)*3</f>
        <v>#REF!</v>
      </c>
      <c r="E17" s="154" t="e">
        <f>#REF!/10/37*6.25*195/224</f>
        <v>#REF!</v>
      </c>
      <c r="F17" s="157" t="e">
        <f>SUM(C17:E17)</f>
        <v>#REF!</v>
      </c>
      <c r="G17" s="49" t="s">
        <v>40</v>
      </c>
      <c r="I17" s="154">
        <v>4311.8</v>
      </c>
      <c r="J17" s="154">
        <v>6651.494541484717</v>
      </c>
      <c r="K17" s="154">
        <v>300.11777569980694</v>
      </c>
      <c r="L17" s="157">
        <v>11263.412317184524</v>
      </c>
      <c r="N17" s="154" t="e">
        <f>D17+E17-J17-K17</f>
        <v>#REF!</v>
      </c>
      <c r="P17" s="154" t="e">
        <f>C17-I17</f>
        <v>#REF!</v>
      </c>
      <c r="Q17" s="154">
        <f>$Q$1+$Q$2</f>
        <v>557.86</v>
      </c>
      <c r="R17" s="154" t="e">
        <f>P17-Q17</f>
        <v>#REF!</v>
      </c>
      <c r="T17" s="50"/>
      <c r="U17" s="154" t="e">
        <f>(#REF!+1100)/10</f>
        <v>#REF!</v>
      </c>
      <c r="V17" s="154" t="e">
        <f>(#REF!+490)/10*3</f>
        <v>#REF!</v>
      </c>
      <c r="W17" s="154" t="e">
        <f>#REF!/10/37*6.25*195/224</f>
        <v>#REF!</v>
      </c>
      <c r="X17" s="157" t="e">
        <f>SUM(U17:W17)</f>
        <v>#REF!</v>
      </c>
      <c r="Y17" s="154" t="e">
        <f>X17-L17</f>
        <v>#REF!</v>
      </c>
      <c r="AA17" s="154" t="e">
        <f>(#REF!+1100)/10</f>
        <v>#REF!</v>
      </c>
      <c r="AB17" s="154" t="e">
        <f>((#REF!+490)/10)*3</f>
        <v>#REF!</v>
      </c>
      <c r="AC17" s="154" t="e">
        <f>#REF!/10/37*6.25*195/224</f>
        <v>#REF!</v>
      </c>
      <c r="AD17" s="157" t="e">
        <f>SUM(AA17:AC17)</f>
        <v>#REF!</v>
      </c>
      <c r="AE17" s="154" t="e">
        <f>AD17-L17</f>
        <v>#REF!</v>
      </c>
      <c r="AG17" s="365" t="e">
        <f>(#REF!+1100)/10</f>
        <v>#REF!</v>
      </c>
      <c r="AH17" s="365">
        <v>6939.2781222707436</v>
      </c>
      <c r="AI17" s="365" t="e">
        <f>#REF!/10/37*6.25*195/224</f>
        <v>#REF!</v>
      </c>
      <c r="AJ17" s="365" t="e">
        <f>SUM(AG17:AI17)</f>
        <v>#REF!</v>
      </c>
      <c r="AK17" s="365" t="e">
        <f t="shared" si="2"/>
        <v>#REF!</v>
      </c>
      <c r="AL17" s="365" t="e">
        <f t="shared" si="3"/>
        <v>#REF!</v>
      </c>
      <c r="AM17" s="50" t="e">
        <f t="shared" si="0"/>
        <v>#REF!</v>
      </c>
      <c r="AN17" s="154" t="e">
        <f>(#REF!+1100)/10</f>
        <v>#REF!</v>
      </c>
      <c r="AO17" s="378" t="e">
        <f>(#REF!+490)/10*3</f>
        <v>#REF!</v>
      </c>
      <c r="AP17" s="154">
        <f t="shared" si="4"/>
        <v>300.11777569980694</v>
      </c>
      <c r="AQ17" s="154" t="e">
        <f t="shared" si="5"/>
        <v>#REF!</v>
      </c>
      <c r="AR17" s="154" t="e">
        <f t="shared" si="6"/>
        <v>#REF!</v>
      </c>
      <c r="AS17" s="380" t="e">
        <f t="shared" si="7"/>
        <v>#REF!</v>
      </c>
      <c r="AT17" s="380" t="e">
        <f t="shared" si="8"/>
        <v>#REF!</v>
      </c>
      <c r="AU17" s="154" t="e">
        <f t="shared" si="9"/>
        <v>#REF!</v>
      </c>
      <c r="AV17" s="50" t="e">
        <f>AO17-J17</f>
        <v>#REF!</v>
      </c>
      <c r="AX17" s="378" t="e">
        <f>(#REF!+1100)/10</f>
        <v>#REF!</v>
      </c>
      <c r="AY17" s="154" t="e">
        <f>(#REF!+490)/10*3</f>
        <v>#REF!</v>
      </c>
      <c r="AZ17" s="378">
        <f t="shared" si="10"/>
        <v>300.11777569980694</v>
      </c>
      <c r="BA17" s="154" t="e">
        <f t="shared" ref="BA17" si="22">SUM(AX17:AZ17)</f>
        <v>#REF!</v>
      </c>
      <c r="BB17" s="154" t="e">
        <f t="shared" ref="BB17" si="23">BA17-V17</f>
        <v>#REF!</v>
      </c>
      <c r="BE17" s="154" t="e">
        <f>AX17+AO17+AZ17</f>
        <v>#REF!</v>
      </c>
      <c r="BG17" s="153">
        <f>('2223 TA Pay Scales'!L45+490)/10*3</f>
        <v>7108.341692358078</v>
      </c>
      <c r="BH17" s="154">
        <f>('2223 Teachers Pay Scales'!K172+1100)/10</f>
        <v>4994.3789577699999</v>
      </c>
      <c r="BI17" s="154">
        <f>AZ17</f>
        <v>300.11777569980694</v>
      </c>
      <c r="BK17" s="559"/>
      <c r="BL17" s="608"/>
      <c r="BM17" s="567"/>
      <c r="BN17" s="154"/>
      <c r="BO17" s="154"/>
      <c r="BP17" s="154"/>
      <c r="BR17" s="154">
        <f>('2223 Teachers Pay Scales'!G176)/10</f>
        <v>34.527236972125003</v>
      </c>
      <c r="BS17" s="154">
        <f>('2223 TA Pay Scales'!H49)/10*3</f>
        <v>32.124271154475963</v>
      </c>
      <c r="BT17" s="154">
        <f t="shared" si="17"/>
        <v>66.651508126600959</v>
      </c>
    </row>
    <row r="18" spans="1:72" x14ac:dyDescent="0.25">
      <c r="C18" s="154"/>
      <c r="D18" s="154"/>
      <c r="E18" s="154"/>
      <c r="F18" s="154"/>
      <c r="N18" s="154"/>
      <c r="P18" s="154"/>
      <c r="Q18" s="154"/>
      <c r="R18" s="154"/>
      <c r="AN18" s="48"/>
      <c r="AO18" s="379"/>
      <c r="AP18" s="154"/>
      <c r="AQ18" s="154"/>
      <c r="AR18" s="48"/>
      <c r="AU18" s="154"/>
      <c r="AV18" s="50">
        <f t="shared" si="1"/>
        <v>0</v>
      </c>
      <c r="AX18" s="379"/>
      <c r="AY18" s="48"/>
      <c r="AZ18" s="378"/>
      <c r="BA18" s="154"/>
      <c r="BB18" s="48"/>
      <c r="BE18" s="154"/>
      <c r="BK18" s="558"/>
      <c r="BL18" s="608"/>
      <c r="BM18" s="567"/>
      <c r="BP18" s="154"/>
      <c r="BR18" s="154"/>
      <c r="BS18" s="154"/>
      <c r="BT18" s="154"/>
    </row>
    <row r="19" spans="1:72" x14ac:dyDescent="0.25">
      <c r="C19" s="154"/>
      <c r="D19" s="154"/>
      <c r="E19" s="154"/>
      <c r="F19" s="154"/>
      <c r="N19" s="154"/>
      <c r="P19" s="154"/>
      <c r="Q19" s="154"/>
      <c r="R19" s="154"/>
      <c r="AN19" s="48"/>
      <c r="AO19" s="379"/>
      <c r="AP19" s="154"/>
      <c r="AQ19" s="154"/>
      <c r="AR19" s="48"/>
      <c r="AU19" s="154"/>
      <c r="AV19" s="50">
        <f t="shared" si="1"/>
        <v>0</v>
      </c>
      <c r="AX19" s="379"/>
      <c r="AY19" s="48"/>
      <c r="AZ19" s="378"/>
      <c r="BA19" s="154"/>
      <c r="BB19" s="48"/>
      <c r="BE19" s="154"/>
      <c r="BK19" s="558"/>
      <c r="BL19" s="608"/>
      <c r="BM19" s="567"/>
      <c r="BP19" s="154"/>
      <c r="BR19" s="154"/>
      <c r="BS19" s="154"/>
      <c r="BT19" s="154"/>
    </row>
    <row r="20" spans="1:72" ht="25" x14ac:dyDescent="0.25">
      <c r="A20" s="49" t="s">
        <v>490</v>
      </c>
      <c r="C20" s="154">
        <v>0</v>
      </c>
      <c r="D20" s="154">
        <v>0</v>
      </c>
      <c r="E20" s="154">
        <v>0</v>
      </c>
      <c r="F20" s="157">
        <v>2635</v>
      </c>
      <c r="G20" s="158" t="s">
        <v>301</v>
      </c>
      <c r="I20" s="154">
        <v>0</v>
      </c>
      <c r="J20" s="154">
        <v>0</v>
      </c>
      <c r="K20" s="154">
        <v>0</v>
      </c>
      <c r="L20" s="157">
        <v>2635</v>
      </c>
      <c r="N20" s="154">
        <f>D20+E20-J20-K20</f>
        <v>0</v>
      </c>
      <c r="P20" s="154">
        <f>C20-I20</f>
        <v>0</v>
      </c>
      <c r="Q20" s="154"/>
      <c r="R20" s="154"/>
      <c r="AN20" s="48"/>
      <c r="AO20" s="379"/>
      <c r="AP20" s="154"/>
      <c r="AQ20" s="154">
        <f>F20</f>
        <v>2635</v>
      </c>
      <c r="AR20" s="48"/>
      <c r="AU20" s="154"/>
      <c r="AV20" s="50">
        <f t="shared" si="1"/>
        <v>0</v>
      </c>
      <c r="AX20" s="379"/>
      <c r="AY20" s="48"/>
      <c r="AZ20" s="378">
        <v>2635</v>
      </c>
      <c r="BA20" s="154"/>
      <c r="BB20" s="48"/>
      <c r="BE20" s="154">
        <f>AX20+AO20+AZ20</f>
        <v>2635</v>
      </c>
      <c r="BK20" s="558"/>
      <c r="BL20" s="608"/>
      <c r="BM20" s="567"/>
      <c r="BN20" s="154"/>
      <c r="BO20" s="154"/>
      <c r="BP20" s="154"/>
      <c r="BR20" s="154"/>
      <c r="BS20" s="154"/>
      <c r="BT20" s="154"/>
    </row>
    <row r="21" spans="1:72" x14ac:dyDescent="0.25">
      <c r="C21" s="154"/>
      <c r="D21" s="154"/>
      <c r="E21" s="154"/>
      <c r="F21" s="154"/>
      <c r="G21" s="1"/>
      <c r="I21" s="154"/>
      <c r="J21" s="154"/>
      <c r="K21" s="154"/>
      <c r="L21" s="154"/>
      <c r="N21" s="154"/>
      <c r="P21" s="154"/>
      <c r="Q21" s="154"/>
      <c r="R21" s="154"/>
      <c r="X21" s="58" t="s">
        <v>584</v>
      </c>
      <c r="AD21" s="153" t="e">
        <f>#REF!</f>
        <v>#REF!</v>
      </c>
      <c r="AN21" s="48"/>
      <c r="AO21" s="379"/>
      <c r="AP21" s="154"/>
      <c r="AQ21" s="154"/>
      <c r="AR21" s="48"/>
      <c r="AU21" s="154"/>
      <c r="AV21" s="50">
        <f t="shared" si="1"/>
        <v>0</v>
      </c>
      <c r="AX21" s="379"/>
      <c r="AY21" s="48"/>
      <c r="AZ21" s="378"/>
      <c r="BA21" s="154"/>
      <c r="BB21" s="48"/>
      <c r="BE21" s="154"/>
      <c r="BK21" s="558"/>
      <c r="BL21" s="608"/>
      <c r="BM21" s="567"/>
      <c r="BP21" s="154"/>
      <c r="BR21" s="154"/>
      <c r="BS21" s="154"/>
      <c r="BT21" s="154"/>
    </row>
    <row r="22" spans="1:72" x14ac:dyDescent="0.25">
      <c r="A22" s="49" t="s">
        <v>234</v>
      </c>
      <c r="B22" s="48" t="s">
        <v>239</v>
      </c>
      <c r="C22" s="154" t="e">
        <f>(#REF!+1100)/6</f>
        <v>#REF!</v>
      </c>
      <c r="D22" s="154" t="e">
        <f>((#REF!+490)/6)*2</f>
        <v>#REF!</v>
      </c>
      <c r="E22" s="154" t="e">
        <f>#REF!/10/37*6.25*195/224</f>
        <v>#REF!</v>
      </c>
      <c r="F22" s="157" t="e">
        <f>SUM(C22:E22)</f>
        <v>#REF!</v>
      </c>
      <c r="G22" s="49" t="s">
        <v>241</v>
      </c>
      <c r="I22" s="154">
        <v>7186.333333333333</v>
      </c>
      <c r="J22" s="154">
        <v>7390.549490538574</v>
      </c>
      <c r="K22" s="154">
        <v>300.11777569980694</v>
      </c>
      <c r="L22" s="157">
        <v>14877.000599571715</v>
      </c>
      <c r="N22" s="154" t="e">
        <f>D22+E22-J22-K22</f>
        <v>#REF!</v>
      </c>
      <c r="P22" s="154" t="e">
        <f>C22-I22</f>
        <v>#REF!</v>
      </c>
      <c r="Q22" s="154">
        <f>$Q$1+$Q$2</f>
        <v>557.86</v>
      </c>
      <c r="R22" s="154" t="e">
        <f>P22-Q22</f>
        <v>#REF!</v>
      </c>
      <c r="AG22" s="365" t="e">
        <f>(#REF!+1100)/6</f>
        <v>#REF!</v>
      </c>
      <c r="AH22" s="365">
        <v>7710.3090247452701</v>
      </c>
      <c r="AI22" s="365" t="e">
        <f>#REF!/10/37*6.25*195/224</f>
        <v>#REF!</v>
      </c>
      <c r="AJ22" s="365" t="e">
        <f>SUM(AG22:AI22)</f>
        <v>#REF!</v>
      </c>
      <c r="AK22" s="365" t="e">
        <f>AJ22-L22</f>
        <v>#REF!</v>
      </c>
      <c r="AL22" s="365" t="e">
        <f>AJ22-F22</f>
        <v>#REF!</v>
      </c>
      <c r="AN22" s="154" t="e">
        <f>(#REF!+1100)/6</f>
        <v>#REF!</v>
      </c>
      <c r="AO22" s="378" t="e">
        <f>(#REF!+490)/6*2</f>
        <v>#REF!</v>
      </c>
      <c r="AP22" s="154">
        <f t="shared" si="4"/>
        <v>300.11777569980694</v>
      </c>
      <c r="AQ22" s="154" t="e">
        <f t="shared" si="5"/>
        <v>#REF!</v>
      </c>
      <c r="AR22" s="48"/>
      <c r="AU22" s="154" t="e">
        <f t="shared" si="9"/>
        <v>#REF!</v>
      </c>
      <c r="AV22" s="50" t="e">
        <f t="shared" si="1"/>
        <v>#REF!</v>
      </c>
      <c r="AX22" s="378" t="e">
        <f>(#REF!+1100)/6</f>
        <v>#REF!</v>
      </c>
      <c r="AY22" s="154" t="e">
        <f>(#REF!+490)/6*2</f>
        <v>#REF!</v>
      </c>
      <c r="AZ22" s="378">
        <f t="shared" si="10"/>
        <v>300.11777569980694</v>
      </c>
      <c r="BA22" s="154" t="e">
        <f t="shared" ref="BA22" si="24">SUM(AX22:AZ22)</f>
        <v>#REF!</v>
      </c>
      <c r="BB22" s="48"/>
      <c r="BE22" s="154" t="e">
        <f>AX22+AO22+AZ22</f>
        <v>#REF!</v>
      </c>
      <c r="BG22" s="153">
        <f>('2223 TA Pay Scales'!L45+490)/6*2</f>
        <v>7898.1574359534206</v>
      </c>
      <c r="BH22" s="154">
        <f>('2223 Teachers Pay Scales'!K172+1100)/6</f>
        <v>8323.9649296166663</v>
      </c>
      <c r="BI22" s="154">
        <f>AZ22</f>
        <v>300.11777569980694</v>
      </c>
      <c r="BK22" s="559">
        <f>SUM(BG22:BI22)</f>
        <v>16522.240141269893</v>
      </c>
      <c r="BL22" s="608" t="e">
        <f t="shared" si="14"/>
        <v>#REF!</v>
      </c>
      <c r="BM22" s="567" t="e">
        <f t="shared" si="15"/>
        <v>#REF!</v>
      </c>
      <c r="BN22" s="154" t="e">
        <f>BK22-BE22</f>
        <v>#REF!</v>
      </c>
      <c r="BO22" s="154">
        <v>320.74749736412014</v>
      </c>
      <c r="BP22" s="154" t="e">
        <f t="shared" si="16"/>
        <v>#REF!</v>
      </c>
      <c r="BR22" s="154">
        <f>('2223 Teachers Pay Scales'!G176)/6</f>
        <v>57.545394953541667</v>
      </c>
      <c r="BS22" s="154">
        <f>('2223 TA Pay Scales'!H49)/6*2</f>
        <v>35.69363461608441</v>
      </c>
      <c r="BT22" s="154">
        <f t="shared" si="17"/>
        <v>93.239029569626069</v>
      </c>
    </row>
    <row r="23" spans="1:72" x14ac:dyDescent="0.25">
      <c r="C23" s="154"/>
      <c r="D23" s="154"/>
      <c r="E23" s="154"/>
      <c r="F23" s="154"/>
      <c r="I23" s="154"/>
      <c r="J23" s="154"/>
      <c r="K23" s="154"/>
      <c r="L23" s="154"/>
      <c r="N23" s="154"/>
      <c r="P23" s="154"/>
      <c r="Q23" s="154"/>
      <c r="R23" s="154"/>
      <c r="AH23" s="365"/>
      <c r="AN23" s="48"/>
      <c r="AO23" s="379"/>
      <c r="AP23" s="48"/>
      <c r="AQ23" s="154"/>
      <c r="AR23" s="48"/>
      <c r="AU23" s="154"/>
      <c r="AV23" s="50">
        <f t="shared" si="1"/>
        <v>0</v>
      </c>
      <c r="AX23" s="378"/>
      <c r="AY23" s="48"/>
      <c r="AZ23" s="378"/>
      <c r="BA23" s="154"/>
      <c r="BB23" s="48"/>
      <c r="BE23" s="154"/>
      <c r="BK23" s="558"/>
      <c r="BL23" s="608"/>
      <c r="BM23" s="567"/>
      <c r="BP23" s="154"/>
      <c r="BR23" s="154"/>
      <c r="BS23" s="154"/>
      <c r="BT23" s="154"/>
    </row>
    <row r="24" spans="1:72" x14ac:dyDescent="0.25">
      <c r="A24" s="49" t="s">
        <v>235</v>
      </c>
      <c r="B24" s="48" t="s">
        <v>215</v>
      </c>
      <c r="C24" s="154">
        <v>0</v>
      </c>
      <c r="D24" s="154" t="e">
        <f>(#REF!+490)</f>
        <v>#REF!</v>
      </c>
      <c r="E24" s="154">
        <v>0</v>
      </c>
      <c r="F24" s="157" t="e">
        <f>SUM(C24:E24)</f>
        <v>#REF!</v>
      </c>
      <c r="G24" s="49" t="s">
        <v>302</v>
      </c>
      <c r="I24" s="154">
        <v>0</v>
      </c>
      <c r="J24" s="154">
        <v>22512.750755794426</v>
      </c>
      <c r="K24" s="154">
        <v>0</v>
      </c>
      <c r="L24" s="157">
        <v>22512.750755794426</v>
      </c>
      <c r="N24" s="154" t="e">
        <f>D24+E24-J24-K24</f>
        <v>#REF!</v>
      </c>
      <c r="P24" s="154">
        <f>C24-I24</f>
        <v>0</v>
      </c>
      <c r="Q24" s="154"/>
      <c r="R24" s="154"/>
      <c r="AH24" s="365">
        <v>23130.927074235809</v>
      </c>
      <c r="AK24" s="365">
        <f>AH24-J24</f>
        <v>618.17631844138305</v>
      </c>
      <c r="AL24" s="365" t="e">
        <f>AH24-D24</f>
        <v>#REF!</v>
      </c>
      <c r="AN24" s="48"/>
      <c r="AO24" s="378" t="e">
        <f>(#REF!+490)</f>
        <v>#REF!</v>
      </c>
      <c r="AP24" s="48">
        <v>0</v>
      </c>
      <c r="AQ24" s="154" t="e">
        <f t="shared" si="5"/>
        <v>#REF!</v>
      </c>
      <c r="AR24" s="48"/>
      <c r="AU24" s="154" t="e">
        <f>AO24-J24</f>
        <v>#REF!</v>
      </c>
      <c r="AV24" s="50" t="e">
        <f t="shared" si="1"/>
        <v>#REF!</v>
      </c>
      <c r="AX24" s="378"/>
      <c r="AY24" s="154"/>
      <c r="AZ24" s="378">
        <f t="shared" si="10"/>
        <v>0</v>
      </c>
      <c r="BA24" s="154">
        <f t="shared" ref="BA24" si="25">SUM(AX24:AZ24)</f>
        <v>0</v>
      </c>
      <c r="BB24" s="48"/>
      <c r="BE24" s="154" t="e">
        <f t="shared" si="13"/>
        <v>#REF!</v>
      </c>
      <c r="BG24" s="153">
        <f>'2223 TA Pay Scales'!L45+490</f>
        <v>23694.472307860262</v>
      </c>
      <c r="BH24" s="154">
        <v>0</v>
      </c>
      <c r="BI24" s="154">
        <f>AZ24</f>
        <v>0</v>
      </c>
      <c r="BK24" s="559">
        <f>SUM(BG24:BI24)</f>
        <v>23694.472307860262</v>
      </c>
      <c r="BL24" s="608" t="e">
        <f t="shared" si="14"/>
        <v>#REF!</v>
      </c>
      <c r="BM24" s="567" t="e">
        <f t="shared" si="15"/>
        <v>#REF!</v>
      </c>
      <c r="BN24" s="154" t="e">
        <f>BK24-BE24</f>
        <v>#REF!</v>
      </c>
      <c r="BO24" s="154">
        <v>471.28377074235686</v>
      </c>
      <c r="BP24" s="154" t="e">
        <f t="shared" si="16"/>
        <v>#REF!</v>
      </c>
      <c r="BR24" s="154">
        <v>0</v>
      </c>
      <c r="BS24" s="154">
        <f>'2223 TA Pay Scales'!H49</f>
        <v>107.08090384825323</v>
      </c>
      <c r="BT24" s="154">
        <f t="shared" si="17"/>
        <v>107.08090384825323</v>
      </c>
    </row>
    <row r="25" spans="1:72" x14ac:dyDescent="0.25">
      <c r="K25" s="49"/>
      <c r="L25" s="49"/>
      <c r="AF25" s="49" t="s">
        <v>585</v>
      </c>
      <c r="AH25" s="365" t="e">
        <f>(#REF!+490)</f>
        <v>#REF!</v>
      </c>
      <c r="AK25" s="365" t="e">
        <f>AH25-J24</f>
        <v>#REF!</v>
      </c>
      <c r="AL25" s="365" t="e">
        <f>AH25-D24</f>
        <v>#REF!</v>
      </c>
      <c r="AO25" s="378"/>
      <c r="AX25" s="378"/>
      <c r="AY25" s="154"/>
      <c r="AZ25" s="378"/>
      <c r="BE25" s="48"/>
      <c r="BG25" s="153"/>
      <c r="BH25" s="154"/>
      <c r="BI25" s="154"/>
      <c r="BK25" s="559"/>
      <c r="BL25" s="608"/>
      <c r="BM25" s="567"/>
      <c r="BN25" s="154"/>
      <c r="BP25" s="154"/>
      <c r="BR25" s="154"/>
      <c r="BS25" s="154"/>
      <c r="BT25" s="154"/>
    </row>
    <row r="26" spans="1:72" x14ac:dyDescent="0.25">
      <c r="A26" s="49" t="s">
        <v>606</v>
      </c>
      <c r="B26" s="48" t="s">
        <v>586</v>
      </c>
      <c r="G26" s="49" t="s">
        <v>587</v>
      </c>
      <c r="I26" s="154">
        <v>5046.875</v>
      </c>
      <c r="J26" s="154">
        <v>5542.9121179039303</v>
      </c>
      <c r="K26" s="154">
        <v>300.11777569980694</v>
      </c>
      <c r="L26" s="154">
        <v>10889.904893603738</v>
      </c>
      <c r="AO26" s="378" t="e">
        <f>(#REF!+490)/8*2</f>
        <v>#REF!</v>
      </c>
      <c r="AX26" s="378" t="e">
        <f>(#REF!+1100)/8</f>
        <v>#REF!</v>
      </c>
      <c r="AY26" s="154"/>
      <c r="AZ26" s="378">
        <f t="shared" si="10"/>
        <v>300.11777569980694</v>
      </c>
      <c r="BE26" s="154" t="e">
        <f>AX26+AO26+AZ26</f>
        <v>#REF!</v>
      </c>
      <c r="BG26" s="153">
        <f>('2223 TA Pay Scales'!L45+490)/8*2</f>
        <v>5923.6180769650655</v>
      </c>
      <c r="BH26" s="154">
        <f>('2223 Teachers Pay Scales'!K153+1100)/8</f>
        <v>5845.0486972125</v>
      </c>
      <c r="BI26" s="154">
        <f t="shared" ref="BI26" si="26">AZ26</f>
        <v>300.11777569980694</v>
      </c>
      <c r="BK26" s="559">
        <f t="shared" ref="BK26" si="27">SUM(BG26:BI26)</f>
        <v>12068.784549877373</v>
      </c>
      <c r="BL26" s="608" t="e">
        <f t="shared" si="14"/>
        <v>#REF!</v>
      </c>
      <c r="BM26" s="567" t="e">
        <f t="shared" si="15"/>
        <v>#REF!</v>
      </c>
      <c r="BN26" s="154" t="e">
        <f>BK26-BE26</f>
        <v>#REF!</v>
      </c>
      <c r="BO26" s="154">
        <v>232.76062302309037</v>
      </c>
      <c r="BP26" s="154" t="e">
        <f t="shared" si="16"/>
        <v>#REF!</v>
      </c>
      <c r="BR26" s="154">
        <f>('2223 Teachers Pay Scales'!G176)/8</f>
        <v>43.159046215156252</v>
      </c>
      <c r="BS26" s="154">
        <f>('2223 TA Pay Scales'!H49)/8*2</f>
        <v>26.770225962063307</v>
      </c>
      <c r="BT26" s="154">
        <f t="shared" ref="BT26" si="28">SUM(BR26:BS26)</f>
        <v>69.929272177219559</v>
      </c>
    </row>
    <row r="27" spans="1:72" x14ac:dyDescent="0.25">
      <c r="K27" s="49"/>
      <c r="L27" s="49"/>
      <c r="AX27" s="154"/>
      <c r="BE27" s="48"/>
      <c r="BK27" s="558"/>
      <c r="BL27" s="608"/>
      <c r="BM27" s="567"/>
      <c r="BP27" s="154"/>
      <c r="BR27" s="154"/>
      <c r="BS27" s="154"/>
      <c r="BT27" s="154"/>
    </row>
    <row r="28" spans="1:72" x14ac:dyDescent="0.25">
      <c r="A28" s="49" t="s">
        <v>236</v>
      </c>
      <c r="G28" s="49" t="s">
        <v>238</v>
      </c>
      <c r="K28" s="154">
        <v>300.11777569980694</v>
      </c>
      <c r="AO28" s="378" t="e">
        <f>(#REF!+490)/8*AO36</f>
        <v>#REF!</v>
      </c>
      <c r="AX28" s="378" t="e">
        <f>(#REF!+1100)/8</f>
        <v>#REF!</v>
      </c>
      <c r="AZ28" s="378">
        <f t="shared" si="10"/>
        <v>300.11777569980694</v>
      </c>
      <c r="BE28" s="154" t="e">
        <f>AX28+AO28+AZ28</f>
        <v>#REF!</v>
      </c>
      <c r="BG28" s="153" t="e">
        <f>('2223 TA Pay Scales'!L45+490)/8*AO36</f>
        <v>#REF!</v>
      </c>
      <c r="BH28" s="154">
        <f>('2223 Teachers Pay Scales'!K172+1100)/8</f>
        <v>6242.9736972125002</v>
      </c>
      <c r="BI28" s="154">
        <f>AZ28</f>
        <v>300.11777569980694</v>
      </c>
      <c r="BK28" s="559" t="e">
        <f>SUM(BG28:BI28)</f>
        <v>#REF!</v>
      </c>
      <c r="BL28" s="608" t="e">
        <f>BN28/(L17+L20)</f>
        <v>#REF!</v>
      </c>
      <c r="BM28" s="567" t="e">
        <f t="shared" si="15"/>
        <v>#REF!</v>
      </c>
      <c r="BN28" s="154" t="e">
        <f>BK28-BE28</f>
        <v>#REF!</v>
      </c>
      <c r="BO28" s="154">
        <v>293.1925621501905</v>
      </c>
      <c r="BP28" s="154" t="e">
        <f t="shared" si="16"/>
        <v>#REF!</v>
      </c>
      <c r="BR28" s="154">
        <f>('2223 Teachers Pay Scales'!G176)/8</f>
        <v>43.159046215156252</v>
      </c>
      <c r="BS28" s="154" t="e">
        <f>('2223 TA Pay Scales'!H49)/8*AO36</f>
        <v>#REF!</v>
      </c>
      <c r="BT28" s="154" t="e">
        <f t="shared" si="17"/>
        <v>#REF!</v>
      </c>
    </row>
    <row r="29" spans="1:72" x14ac:dyDescent="0.25">
      <c r="C29" s="154"/>
      <c r="D29" s="154"/>
      <c r="E29" s="154"/>
      <c r="F29" s="154"/>
      <c r="BE29" s="154"/>
      <c r="BH29" s="154"/>
      <c r="BI29" s="154"/>
      <c r="BK29" s="559"/>
      <c r="BL29" s="608"/>
      <c r="BM29" s="567"/>
      <c r="BN29" s="154"/>
      <c r="BP29" s="154"/>
      <c r="BR29" s="154"/>
      <c r="BS29" s="154"/>
      <c r="BT29" s="154"/>
    </row>
    <row r="30" spans="1:72" x14ac:dyDescent="0.25">
      <c r="A30" s="49" t="s">
        <v>607</v>
      </c>
      <c r="C30" s="154"/>
      <c r="D30" s="154"/>
      <c r="E30" s="154"/>
      <c r="F30" s="154"/>
      <c r="G30" s="562" t="s">
        <v>608</v>
      </c>
      <c r="H30" s="562"/>
      <c r="I30" s="563">
        <v>5389.75</v>
      </c>
      <c r="J30" s="563">
        <v>2771.4560589519651</v>
      </c>
      <c r="K30" s="563">
        <v>300</v>
      </c>
      <c r="L30" s="563">
        <f>SUM(I30:K30)</f>
        <v>8461.2060589519642</v>
      </c>
      <c r="M30" s="563"/>
      <c r="N30" s="563"/>
      <c r="P30" s="49"/>
      <c r="AO30" s="378" t="e">
        <f>(#REF!+490)/8</f>
        <v>#REF!</v>
      </c>
      <c r="AX30" s="378" t="e">
        <f>(#REF!+1100)/8</f>
        <v>#REF!</v>
      </c>
      <c r="AZ30" s="564">
        <v>300.11777569980694</v>
      </c>
      <c r="BA30" s="563"/>
      <c r="BB30" s="563"/>
      <c r="BC30" s="563"/>
      <c r="BD30" s="563"/>
      <c r="BE30" s="154" t="e">
        <f t="shared" ref="BE30" si="29">AX30+AO30+AZ30</f>
        <v>#REF!</v>
      </c>
      <c r="BF30" s="562"/>
      <c r="BG30" s="153">
        <f>('2223 TA Pay Scales'!L45+490)/8</f>
        <v>2961.8090384825327</v>
      </c>
      <c r="BH30" s="154">
        <f>('2223 Teachers Pay Scales'!K172+1100)/8</f>
        <v>6242.9736972125002</v>
      </c>
      <c r="BI30" s="154">
        <f t="shared" ref="BI30" si="30">AZ30</f>
        <v>300.11777569980694</v>
      </c>
      <c r="BK30" s="559">
        <f t="shared" ref="BK30" si="31">SUM(BG30:BI30)</f>
        <v>9504.9005113948406</v>
      </c>
      <c r="BL30" s="608" t="e">
        <f t="shared" si="14"/>
        <v>#REF!</v>
      </c>
      <c r="BM30" s="567" t="e">
        <f t="shared" si="15"/>
        <v>#REF!</v>
      </c>
      <c r="BN30" s="154" t="e">
        <f t="shared" ref="BN30" si="32">BK30-BE30</f>
        <v>#REF!</v>
      </c>
      <c r="BO30" s="154">
        <v>181.65015168029458</v>
      </c>
      <c r="BP30" s="154" t="e">
        <f t="shared" si="16"/>
        <v>#REF!</v>
      </c>
      <c r="BR30" s="154">
        <f>('2223 Teachers Pay Scales'!G176)/8</f>
        <v>43.159046215156252</v>
      </c>
      <c r="BS30" s="154">
        <f>('2223 TA Pay Scales'!H49)/8</f>
        <v>13.385112981031654</v>
      </c>
      <c r="BT30" s="154">
        <f t="shared" si="17"/>
        <v>56.544159196187906</v>
      </c>
    </row>
    <row r="31" spans="1:72" x14ac:dyDescent="0.25">
      <c r="Q31" s="391"/>
    </row>
    <row r="32" spans="1:72" x14ac:dyDescent="0.25">
      <c r="Q32" s="391"/>
      <c r="AO32" s="541" t="e">
        <f>BE17+BE20-AX28-AZ28</f>
        <v>#REF!</v>
      </c>
      <c r="AP32" s="546" t="s">
        <v>588</v>
      </c>
    </row>
    <row r="33" spans="3:65" x14ac:dyDescent="0.25">
      <c r="C33" s="154"/>
      <c r="D33" s="154"/>
      <c r="E33" s="154"/>
      <c r="F33" s="154"/>
      <c r="AO33" s="542"/>
      <c r="AP33" s="542"/>
      <c r="BM33" s="568" t="e">
        <f>AVERAGE(BM5:BM30)</f>
        <v>#REF!</v>
      </c>
    </row>
    <row r="34" spans="3:65" x14ac:dyDescent="0.25">
      <c r="I34" s="49"/>
      <c r="J34" s="49"/>
      <c r="K34" s="49"/>
      <c r="L34" s="49"/>
      <c r="AO34" s="543" t="e">
        <f>AO32*8</f>
        <v>#REF!</v>
      </c>
      <c r="AP34" s="542" t="s">
        <v>589</v>
      </c>
    </row>
    <row r="35" spans="3:65" x14ac:dyDescent="0.25">
      <c r="C35" s="154"/>
      <c r="D35" s="154"/>
      <c r="E35" s="154"/>
      <c r="F35" s="154"/>
      <c r="I35" s="49"/>
      <c r="J35" s="49"/>
      <c r="K35" s="49"/>
      <c r="L35" s="49"/>
      <c r="AO35" s="544" t="e">
        <f>(#REF!+490)</f>
        <v>#REF!</v>
      </c>
      <c r="AP35" s="542" t="s">
        <v>590</v>
      </c>
    </row>
    <row r="36" spans="3:65" x14ac:dyDescent="0.25">
      <c r="I36" s="49"/>
      <c r="J36" s="49"/>
      <c r="K36" s="49"/>
      <c r="L36" s="49"/>
      <c r="AO36" s="545" t="e">
        <f>AO34/AO35</f>
        <v>#REF!</v>
      </c>
      <c r="AP36" s="545" t="s">
        <v>591</v>
      </c>
    </row>
    <row r="37" spans="3:65" x14ac:dyDescent="0.25">
      <c r="C37" s="154"/>
      <c r="D37" s="154"/>
      <c r="E37" s="154"/>
      <c r="F37" s="154"/>
      <c r="I37" s="49"/>
      <c r="J37" s="49"/>
      <c r="K37" s="49"/>
      <c r="L37" s="49"/>
    </row>
    <row r="38" spans="3:65" x14ac:dyDescent="0.25">
      <c r="I38" s="49"/>
      <c r="J38" s="49"/>
      <c r="K38" s="49"/>
      <c r="L38" s="49"/>
      <c r="BM38" s="568" t="e">
        <f>(BM5+BM8+BM11+BM14+BM22+BM24+BM28)/7</f>
        <v>#REF!</v>
      </c>
    </row>
    <row r="39" spans="3:65" x14ac:dyDescent="0.25">
      <c r="C39" s="154"/>
      <c r="D39" s="154"/>
      <c r="E39" s="154"/>
      <c r="F39" s="154"/>
      <c r="I39" s="49"/>
      <c r="J39" s="49"/>
      <c r="K39" s="49"/>
      <c r="L39" s="49"/>
    </row>
    <row r="40" spans="3:65" x14ac:dyDescent="0.25">
      <c r="I40" s="49"/>
      <c r="J40" s="49"/>
      <c r="K40" s="49"/>
      <c r="L40" s="49"/>
    </row>
    <row r="41" spans="3:65" x14ac:dyDescent="0.25">
      <c r="C41" s="154"/>
      <c r="D41" s="154"/>
      <c r="E41" s="154"/>
      <c r="F41" s="154"/>
      <c r="I41" s="49"/>
      <c r="J41" s="49"/>
      <c r="K41" s="49"/>
      <c r="L41" s="49"/>
    </row>
    <row r="42" spans="3:65" x14ac:dyDescent="0.25">
      <c r="I42" s="49"/>
      <c r="J42" s="49"/>
      <c r="K42" s="49"/>
      <c r="L42" s="49"/>
    </row>
    <row r="43" spans="3:65" x14ac:dyDescent="0.25">
      <c r="C43" s="154"/>
      <c r="D43" s="154"/>
      <c r="E43" s="154"/>
      <c r="F43" s="154"/>
      <c r="I43" s="49"/>
      <c r="J43" s="49"/>
      <c r="K43" s="49"/>
      <c r="L43" s="49"/>
    </row>
  </sheetData>
  <mergeCells count="2">
    <mergeCell ref="N1:N3"/>
    <mergeCell ref="BR2:BT2"/>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35DD-72F4-49D5-BEE8-D2A16BC8CB50}">
  <sheetPr>
    <tabColor theme="4" tint="0.39997558519241921"/>
  </sheetPr>
  <dimension ref="B2:K24"/>
  <sheetViews>
    <sheetView workbookViewId="0">
      <selection activeCell="F13" sqref="F13"/>
    </sheetView>
  </sheetViews>
  <sheetFormatPr defaultColWidth="9.1796875" defaultRowHeight="12.5" x14ac:dyDescent="0.25"/>
  <cols>
    <col min="1" max="1" width="9.1796875" style="49"/>
    <col min="2" max="2" width="19.26953125" style="49" customWidth="1"/>
    <col min="3" max="3" width="20.7265625" style="48" customWidth="1"/>
    <col min="4" max="4" width="9.1796875" style="49"/>
    <col min="5" max="7" width="9.1796875" style="48"/>
    <col min="8" max="8" width="9.1796875" style="49"/>
    <col min="9" max="9" width="13.1796875" style="48" customWidth="1"/>
    <col min="10" max="10" width="9.1796875" style="49"/>
    <col min="11" max="11" width="12.6328125" style="49" customWidth="1"/>
    <col min="12" max="16384" width="9.1796875" style="49"/>
  </cols>
  <sheetData>
    <row r="2" spans="2:11" ht="13" x14ac:dyDescent="0.3">
      <c r="B2" s="4" t="s">
        <v>7</v>
      </c>
    </row>
    <row r="3" spans="2:11" x14ac:dyDescent="0.25">
      <c r="B3" s="1"/>
    </row>
    <row r="4" spans="2:11" ht="50" x14ac:dyDescent="0.25">
      <c r="C4" s="155" t="s">
        <v>8</v>
      </c>
      <c r="D4" s="58"/>
      <c r="E4" s="367" t="s">
        <v>594</v>
      </c>
      <c r="F4" s="367" t="s">
        <v>595</v>
      </c>
      <c r="G4" s="367" t="s">
        <v>596</v>
      </c>
      <c r="H4" s="58"/>
      <c r="I4" s="557" t="s">
        <v>597</v>
      </c>
      <c r="K4" s="820" t="s">
        <v>889</v>
      </c>
    </row>
    <row r="5" spans="2:11" x14ac:dyDescent="0.25">
      <c r="B5" s="49" t="s">
        <v>229</v>
      </c>
      <c r="C5" s="48" t="s">
        <v>12</v>
      </c>
      <c r="E5" s="154">
        <f>('2223 TA Pay Scales'!L45+490)/12</f>
        <v>1974.5393589883552</v>
      </c>
      <c r="F5" s="154">
        <f>('2223 Teachers Pay Scales'!K172+1100)/12</f>
        <v>4161.9824648083331</v>
      </c>
      <c r="G5" s="154">
        <v>300.11777569980694</v>
      </c>
      <c r="I5" s="559">
        <f t="shared" ref="I5:I12" si="0">SUM(E5:G5)</f>
        <v>6436.6395994964951</v>
      </c>
      <c r="K5" s="157">
        <f t="shared" ref="K5:K12" si="1">I5*1.03</f>
        <v>6629.7387874813903</v>
      </c>
    </row>
    <row r="6" spans="2:11" x14ac:dyDescent="0.25">
      <c r="B6" s="49" t="s">
        <v>230</v>
      </c>
      <c r="C6" s="48" t="s">
        <v>11</v>
      </c>
      <c r="E6" s="154">
        <f>('2223 TA Pay Scales'!L45+490)/10</f>
        <v>2369.447230786026</v>
      </c>
      <c r="F6" s="154">
        <f>('2223 Teachers Pay Scales'!K172+1100)/10</f>
        <v>4994.3789577699999</v>
      </c>
      <c r="G6" s="154">
        <v>300.11777569980694</v>
      </c>
      <c r="I6" s="559">
        <f t="shared" si="0"/>
        <v>7663.9439642558327</v>
      </c>
      <c r="K6" s="157">
        <f t="shared" si="1"/>
        <v>7893.8622831835082</v>
      </c>
    </row>
    <row r="7" spans="2:11" x14ac:dyDescent="0.25">
      <c r="B7" s="49" t="s">
        <v>231</v>
      </c>
      <c r="E7" s="154">
        <v>8569.7648394384141</v>
      </c>
      <c r="F7" s="154">
        <f>('2223 Teachers Pay Scales'!K172+1100)/8</f>
        <v>6242.9736972125002</v>
      </c>
      <c r="G7" s="154">
        <v>300.11777569980694</v>
      </c>
      <c r="I7" s="559">
        <f t="shared" si="0"/>
        <v>15112.856312350723</v>
      </c>
      <c r="K7" s="157">
        <f t="shared" si="1"/>
        <v>15566.242001721244</v>
      </c>
    </row>
    <row r="8" spans="2:11" x14ac:dyDescent="0.25">
      <c r="B8" s="49" t="s">
        <v>232</v>
      </c>
      <c r="C8" s="48" t="s">
        <v>239</v>
      </c>
      <c r="E8" s="154">
        <f>('2223 TA Pay Scales'!L45+490)/8*3</f>
        <v>8885.4271154475973</v>
      </c>
      <c r="F8" s="154">
        <f>('2223 Teachers Pay Scales'!K172+1100)/8</f>
        <v>6242.9736972125002</v>
      </c>
      <c r="G8" s="154">
        <v>300.11777569980694</v>
      </c>
      <c r="I8" s="559">
        <f t="shared" si="0"/>
        <v>15428.518588359904</v>
      </c>
      <c r="K8" s="157">
        <f t="shared" si="1"/>
        <v>15891.374146010701</v>
      </c>
    </row>
    <row r="9" spans="2:11" x14ac:dyDescent="0.25">
      <c r="B9" s="49" t="s">
        <v>233</v>
      </c>
      <c r="C9" s="48" t="s">
        <v>239</v>
      </c>
      <c r="E9" s="154">
        <f>('2223 TA Pay Scales'!L45+490)/8*3</f>
        <v>8885.4271154475973</v>
      </c>
      <c r="F9" s="154">
        <f>('2223 Teachers Pay Scales'!K172+1100)/8</f>
        <v>6242.9736972125002</v>
      </c>
      <c r="G9" s="154">
        <v>300.11777569980694</v>
      </c>
      <c r="I9" s="559">
        <f t="shared" si="0"/>
        <v>15428.518588359904</v>
      </c>
      <c r="K9" s="157">
        <f t="shared" si="1"/>
        <v>15891.374146010701</v>
      </c>
    </row>
    <row r="10" spans="2:11" x14ac:dyDescent="0.25">
      <c r="B10" s="49" t="s">
        <v>234</v>
      </c>
      <c r="C10" s="48" t="s">
        <v>239</v>
      </c>
      <c r="E10" s="154">
        <f>('2223 TA Pay Scales'!L45+490)/6*2</f>
        <v>7898.1574359534206</v>
      </c>
      <c r="F10" s="154">
        <f>('2223 Teachers Pay Scales'!K172+1100)/6</f>
        <v>8323.9649296166663</v>
      </c>
      <c r="G10" s="154">
        <v>300.11777569980694</v>
      </c>
      <c r="I10" s="559">
        <f t="shared" si="0"/>
        <v>16522.240141269893</v>
      </c>
      <c r="K10" s="157">
        <f t="shared" si="1"/>
        <v>17017.907345507989</v>
      </c>
    </row>
    <row r="11" spans="2:11" x14ac:dyDescent="0.25">
      <c r="B11" s="49" t="s">
        <v>235</v>
      </c>
      <c r="C11" s="48" t="s">
        <v>215</v>
      </c>
      <c r="E11" s="154">
        <f>'2223 TA Pay Scales'!L45+490</f>
        <v>23694.472307860262</v>
      </c>
      <c r="F11" s="154">
        <v>0</v>
      </c>
      <c r="G11" s="154">
        <v>0</v>
      </c>
      <c r="I11" s="559">
        <f t="shared" si="0"/>
        <v>23694.472307860262</v>
      </c>
      <c r="K11" s="157">
        <f t="shared" si="1"/>
        <v>24405.30647709607</v>
      </c>
    </row>
    <row r="12" spans="2:11" x14ac:dyDescent="0.25">
      <c r="B12" s="49" t="s">
        <v>607</v>
      </c>
      <c r="D12" s="562"/>
      <c r="E12" s="154">
        <f>('2223 TA Pay Scales'!L45+490)/8</f>
        <v>2961.8090384825327</v>
      </c>
      <c r="F12" s="154">
        <f>('2223 Teachers Pay Scales'!K172+1100)/8</f>
        <v>6242.9736972125002</v>
      </c>
      <c r="G12" s="154">
        <v>300.11777569980694</v>
      </c>
      <c r="I12" s="559">
        <f t="shared" si="0"/>
        <v>9504.9005113948406</v>
      </c>
      <c r="K12" s="157">
        <f t="shared" si="1"/>
        <v>9790.0475267366855</v>
      </c>
    </row>
    <row r="13" spans="2:11" x14ac:dyDescent="0.25">
      <c r="B13" s="49" t="s">
        <v>606</v>
      </c>
      <c r="C13" s="48" t="s">
        <v>586</v>
      </c>
      <c r="E13" s="154">
        <f>('2223 TA Pay Scales'!L45+490)/8*2</f>
        <v>5923.6180769650655</v>
      </c>
      <c r="F13" s="154">
        <f>('2223 Teachers Pay Scales'!K153+1100)/8</f>
        <v>5845.0486972125</v>
      </c>
      <c r="G13" s="154">
        <v>300.11777569980694</v>
      </c>
      <c r="I13" s="559">
        <f>SUM(E13:G13)</f>
        <v>12068.784549877373</v>
      </c>
      <c r="K13" s="157">
        <f>I13*1.03</f>
        <v>12430.848086373695</v>
      </c>
    </row>
    <row r="14" spans="2:11" x14ac:dyDescent="0.25">
      <c r="K14" s="50"/>
    </row>
    <row r="15" spans="2:11" x14ac:dyDescent="0.25">
      <c r="K15" s="50"/>
    </row>
    <row r="16" spans="2:11" x14ac:dyDescent="0.25">
      <c r="K16" s="50"/>
    </row>
    <row r="17" spans="5:11" x14ac:dyDescent="0.25">
      <c r="K17" s="50"/>
    </row>
    <row r="18" spans="5:11" x14ac:dyDescent="0.25">
      <c r="K18" s="50"/>
    </row>
    <row r="19" spans="5:11" x14ac:dyDescent="0.25">
      <c r="K19" s="50"/>
    </row>
    <row r="20" spans="5:11" x14ac:dyDescent="0.25">
      <c r="K20" s="50"/>
    </row>
    <row r="21" spans="5:11" x14ac:dyDescent="0.25">
      <c r="K21" s="50"/>
    </row>
    <row r="22" spans="5:11" x14ac:dyDescent="0.25">
      <c r="E22" s="153"/>
      <c r="F22" s="154"/>
      <c r="G22" s="154"/>
      <c r="I22" s="154"/>
      <c r="K22" s="50"/>
    </row>
    <row r="23" spans="5:11" x14ac:dyDescent="0.25">
      <c r="K23" s="50"/>
    </row>
    <row r="24" spans="5:11" x14ac:dyDescent="0.25">
      <c r="F24" s="154"/>
      <c r="G24" s="154"/>
      <c r="I24" s="154"/>
      <c r="K24" s="50"/>
    </row>
  </sheetData>
  <sortState xmlns:xlrd2="http://schemas.microsoft.com/office/spreadsheetml/2017/richdata2" ref="B5:K24">
    <sortCondition ref="B5:B24"/>
  </sortState>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C35C-9D6C-42D6-A3C8-9D71A2B647EC}">
  <sheetPr>
    <tabColor rgb="FFFFC000"/>
  </sheetPr>
  <dimension ref="A2:N66"/>
  <sheetViews>
    <sheetView topLeftCell="E10" workbookViewId="0">
      <selection activeCell="K37" sqref="K37"/>
    </sheetView>
  </sheetViews>
  <sheetFormatPr defaultRowHeight="12.5" x14ac:dyDescent="0.25"/>
  <cols>
    <col min="1" max="1" width="11.26953125" customWidth="1"/>
    <col min="2" max="2" width="38.453125" customWidth="1"/>
    <col min="3" max="7" width="25.7265625" style="2" customWidth="1"/>
    <col min="8" max="15" width="25.7265625" customWidth="1"/>
  </cols>
  <sheetData>
    <row r="2" spans="1:11" ht="13" x14ac:dyDescent="0.3">
      <c r="A2" t="s">
        <v>419</v>
      </c>
      <c r="H2" s="1045" t="s">
        <v>417</v>
      </c>
      <c r="I2" s="1045"/>
      <c r="J2" s="1045" t="s">
        <v>418</v>
      </c>
      <c r="K2" s="1045"/>
    </row>
    <row r="3" spans="1:11" ht="13" x14ac:dyDescent="0.3">
      <c r="B3" s="1045" t="s">
        <v>420</v>
      </c>
      <c r="C3" s="1045"/>
      <c r="E3" s="1045" t="s">
        <v>900</v>
      </c>
      <c r="F3" s="1045"/>
      <c r="H3" s="2" t="s">
        <v>422</v>
      </c>
      <c r="I3" s="109" t="s">
        <v>423</v>
      </c>
      <c r="J3" s="2" t="s">
        <v>422</v>
      </c>
      <c r="K3" s="109" t="s">
        <v>423</v>
      </c>
    </row>
    <row r="4" spans="1:11" x14ac:dyDescent="0.25">
      <c r="B4" s="2">
        <v>600</v>
      </c>
      <c r="C4" s="7">
        <v>600000</v>
      </c>
      <c r="D4" s="38" t="s">
        <v>244</v>
      </c>
      <c r="E4" s="664">
        <f>'2324 School Size Ranges'!E4*1.0298</f>
        <v>700058.04</v>
      </c>
      <c r="F4" s="7">
        <f>E4</f>
        <v>700058.04</v>
      </c>
      <c r="G4" s="7"/>
      <c r="H4" s="141">
        <v>346136</v>
      </c>
      <c r="I4" s="141">
        <v>114399</v>
      </c>
      <c r="J4" s="141">
        <v>295356</v>
      </c>
      <c r="K4" s="141">
        <v>102930</v>
      </c>
    </row>
    <row r="5" spans="1:11" x14ac:dyDescent="0.25">
      <c r="B5" s="2">
        <v>100</v>
      </c>
      <c r="C5" s="7">
        <v>700000</v>
      </c>
      <c r="D5" s="38" t="s">
        <v>245</v>
      </c>
      <c r="E5" s="664">
        <f>'2324 School Size Ranges'!E5*1.0298</f>
        <v>816734.38000000012</v>
      </c>
      <c r="F5" s="7">
        <f>E5-E4</f>
        <v>116676.34000000008</v>
      </c>
      <c r="G5" s="7"/>
      <c r="H5" s="141">
        <f>(H6+H4)/2</f>
        <v>385456.5</v>
      </c>
      <c r="I5" s="141">
        <f>(I6+I4)/2</f>
        <v>120035.5</v>
      </c>
      <c r="J5" s="141">
        <f>(J6+J4)/2</f>
        <v>330222.5</v>
      </c>
      <c r="K5" s="141">
        <v>102930</v>
      </c>
    </row>
    <row r="6" spans="1:11" x14ac:dyDescent="0.25">
      <c r="B6" s="2">
        <v>250</v>
      </c>
      <c r="C6" s="7">
        <v>950000</v>
      </c>
      <c r="D6" s="38" t="s">
        <v>246</v>
      </c>
      <c r="E6" s="664">
        <f>'2324 School Size Ranges'!E6*1.0298</f>
        <v>1108425.2300000002</v>
      </c>
      <c r="F6" s="173">
        <f>E6-E5</f>
        <v>291690.85000000009</v>
      </c>
      <c r="G6" s="7"/>
      <c r="H6" s="141">
        <v>424777</v>
      </c>
      <c r="I6" s="141">
        <v>125672</v>
      </c>
      <c r="J6" s="141">
        <v>365089</v>
      </c>
      <c r="K6" s="141">
        <v>102930</v>
      </c>
    </row>
    <row r="7" spans="1:11" x14ac:dyDescent="0.25">
      <c r="A7">
        <f t="shared" ref="A7:A14" si="0">B7-B5</f>
        <v>50</v>
      </c>
      <c r="B7" s="2">
        <v>150</v>
      </c>
      <c r="C7" s="7">
        <v>1100000</v>
      </c>
      <c r="D7" s="38" t="s">
        <v>247</v>
      </c>
      <c r="E7" s="664">
        <f>'2324 School Size Ranges'!E7*1.0298</f>
        <v>1283439.74</v>
      </c>
      <c r="F7" s="7">
        <f>E7-E6</f>
        <v>175014.50999999978</v>
      </c>
      <c r="G7" s="7">
        <f>F7-F5</f>
        <v>58338.169999999693</v>
      </c>
      <c r="H7" s="141">
        <f>(H8+H6)/2</f>
        <v>470457</v>
      </c>
      <c r="I7" s="141">
        <f>(I8+I6)/2</f>
        <v>131813</v>
      </c>
      <c r="J7" s="141">
        <f>(J8+J6)/2</f>
        <v>399637</v>
      </c>
      <c r="K7" s="141">
        <v>102930</v>
      </c>
    </row>
    <row r="8" spans="1:11" x14ac:dyDescent="0.25">
      <c r="A8">
        <f t="shared" si="0"/>
        <v>50</v>
      </c>
      <c r="B8" s="2">
        <v>300</v>
      </c>
      <c r="C8" s="7">
        <v>1400000</v>
      </c>
      <c r="D8" s="38" t="s">
        <v>248</v>
      </c>
      <c r="E8" s="664">
        <f>'2324 School Size Ranges'!E8*1.0298</f>
        <v>1633468.7600000002</v>
      </c>
      <c r="F8" s="173">
        <f t="shared" ref="F8:F13" si="1">E8-E7</f>
        <v>350029.02000000025</v>
      </c>
      <c r="G8" s="173">
        <f>F8-F6</f>
        <v>58338.170000000158</v>
      </c>
      <c r="H8" s="141">
        <v>516137</v>
      </c>
      <c r="I8" s="141">
        <v>137954</v>
      </c>
      <c r="J8" s="141">
        <v>434185</v>
      </c>
      <c r="K8" s="141">
        <v>102930</v>
      </c>
    </row>
    <row r="9" spans="1:11" x14ac:dyDescent="0.25">
      <c r="A9">
        <f t="shared" si="0"/>
        <v>50</v>
      </c>
      <c r="B9" s="2">
        <v>200</v>
      </c>
      <c r="C9" s="7">
        <v>1600000</v>
      </c>
      <c r="D9" s="38" t="s">
        <v>249</v>
      </c>
      <c r="E9" s="664">
        <f>'2324 School Size Ranges'!E9*1.0298</f>
        <v>1866821.4400000004</v>
      </c>
      <c r="F9" s="7">
        <f t="shared" si="1"/>
        <v>233352.68000000017</v>
      </c>
      <c r="G9" s="7">
        <f t="shared" ref="G9:G13" si="2">F9-F7</f>
        <v>58338.170000000391</v>
      </c>
      <c r="H9" s="141">
        <f>(H10+H8)/2</f>
        <v>565224.5</v>
      </c>
      <c r="I9" s="141">
        <f>(I10+I8)/2</f>
        <v>149645.5</v>
      </c>
      <c r="J9" s="664"/>
      <c r="K9" s="667"/>
    </row>
    <row r="10" spans="1:11" x14ac:dyDescent="0.25">
      <c r="A10">
        <f t="shared" si="0"/>
        <v>50</v>
      </c>
      <c r="B10" s="2">
        <v>350</v>
      </c>
      <c r="C10" s="7">
        <v>1950000</v>
      </c>
      <c r="D10" s="38" t="s">
        <v>250</v>
      </c>
      <c r="E10" s="664">
        <f>'2324 School Size Ranges'!E10*1.0298</f>
        <v>2275188.63</v>
      </c>
      <c r="F10" s="173">
        <f t="shared" si="1"/>
        <v>408367.18999999948</v>
      </c>
      <c r="G10" s="173">
        <f t="shared" si="2"/>
        <v>58338.169999999227</v>
      </c>
      <c r="H10" s="141">
        <v>614312</v>
      </c>
      <c r="I10" s="141">
        <v>161337</v>
      </c>
      <c r="J10" s="668"/>
      <c r="K10" s="667"/>
    </row>
    <row r="11" spans="1:11" x14ac:dyDescent="0.25">
      <c r="A11">
        <f t="shared" si="0"/>
        <v>50</v>
      </c>
      <c r="B11" s="2">
        <v>250</v>
      </c>
      <c r="C11" s="7">
        <v>2200000</v>
      </c>
      <c r="D11" s="38" t="s">
        <v>251</v>
      </c>
      <c r="E11" s="664">
        <f>'2324 School Size Ranges'!E11*1.0298</f>
        <v>2566879.48</v>
      </c>
      <c r="F11" s="7">
        <f t="shared" si="1"/>
        <v>291690.85000000009</v>
      </c>
      <c r="G11" s="7">
        <f t="shared" si="2"/>
        <v>58338.169999999925</v>
      </c>
      <c r="H11" s="141">
        <f>(H12+H10)/2</f>
        <v>666385</v>
      </c>
      <c r="I11" s="141">
        <f>(I12+I10)/2</f>
        <v>167447</v>
      </c>
      <c r="J11" s="668"/>
      <c r="K11" s="667"/>
    </row>
    <row r="12" spans="1:11" x14ac:dyDescent="0.25">
      <c r="A12">
        <f t="shared" si="0"/>
        <v>50</v>
      </c>
      <c r="B12" s="2">
        <v>400</v>
      </c>
      <c r="C12" s="7">
        <v>2600000</v>
      </c>
      <c r="D12" s="38" t="s">
        <v>252</v>
      </c>
      <c r="E12" s="664">
        <f>'2324 School Size Ranges'!E12*1.0298</f>
        <v>3033584.8400000003</v>
      </c>
      <c r="F12" s="173">
        <f t="shared" si="1"/>
        <v>466705.36000000034</v>
      </c>
      <c r="G12" s="173">
        <f t="shared" si="2"/>
        <v>58338.170000000857</v>
      </c>
      <c r="H12" s="141">
        <v>718458</v>
      </c>
      <c r="I12" s="141">
        <v>173557</v>
      </c>
      <c r="J12" s="668"/>
      <c r="K12" s="667"/>
    </row>
    <row r="13" spans="1:11" x14ac:dyDescent="0.25">
      <c r="A13">
        <f t="shared" si="0"/>
        <v>50</v>
      </c>
      <c r="B13" s="2">
        <v>300</v>
      </c>
      <c r="C13" s="7">
        <v>2900000</v>
      </c>
      <c r="D13" s="38" t="s">
        <v>424</v>
      </c>
      <c r="E13" s="664">
        <f>'2324 School Size Ranges'!E13*1.0298</f>
        <v>3383613.8600000008</v>
      </c>
      <c r="F13" s="7">
        <f t="shared" si="1"/>
        <v>350029.02000000048</v>
      </c>
      <c r="G13" s="7">
        <f t="shared" si="2"/>
        <v>58338.170000000391</v>
      </c>
      <c r="H13" s="141">
        <f>(H14+H12)/2</f>
        <v>765070.5</v>
      </c>
      <c r="I13" s="141">
        <f>(I14+I12)/2</f>
        <v>179765.5</v>
      </c>
      <c r="J13" s="7"/>
      <c r="K13" s="7"/>
    </row>
    <row r="14" spans="1:11" x14ac:dyDescent="0.25">
      <c r="A14">
        <f t="shared" si="0"/>
        <v>50</v>
      </c>
      <c r="B14" s="2">
        <v>450</v>
      </c>
      <c r="C14" s="7">
        <v>3350000</v>
      </c>
      <c r="D14" s="38" t="s">
        <v>425</v>
      </c>
      <c r="E14" s="664">
        <f>'2324 School Size Ranges'!E14*1.0298</f>
        <v>3908657.3900000006</v>
      </c>
      <c r="F14" s="173">
        <f>E14-E13</f>
        <v>525043.5299999998</v>
      </c>
      <c r="G14" s="173">
        <f>F14-F12</f>
        <v>58338.16999999946</v>
      </c>
      <c r="H14" s="141">
        <v>811683</v>
      </c>
      <c r="I14" s="141">
        <v>185974</v>
      </c>
      <c r="J14" s="7"/>
      <c r="K14" s="7"/>
    </row>
    <row r="15" spans="1:11" ht="13" thickBot="1" x14ac:dyDescent="0.3">
      <c r="B15" s="573">
        <f>SUM(B4:B14)</f>
        <v>3350</v>
      </c>
      <c r="D15"/>
      <c r="I15" s="2"/>
      <c r="J15" s="2"/>
      <c r="K15" s="2"/>
    </row>
    <row r="16" spans="1:11" x14ac:dyDescent="0.25">
      <c r="G16" s="2" t="s">
        <v>471</v>
      </c>
    </row>
    <row r="18" spans="2:14" ht="13" x14ac:dyDescent="0.3">
      <c r="B18" s="165" t="s">
        <v>1028</v>
      </c>
      <c r="H18" s="2"/>
      <c r="I18" s="2"/>
    </row>
    <row r="19" spans="2:14" x14ac:dyDescent="0.25">
      <c r="H19" s="2"/>
      <c r="I19" s="2"/>
    </row>
    <row r="20" spans="2:14" ht="26" x14ac:dyDescent="0.3">
      <c r="B20" s="862" t="s">
        <v>1029</v>
      </c>
      <c r="C20" s="70" t="s">
        <v>483</v>
      </c>
      <c r="D20" s="5" t="s">
        <v>15</v>
      </c>
      <c r="E20" s="5" t="s">
        <v>1030</v>
      </c>
      <c r="F20" s="5" t="s">
        <v>16</v>
      </c>
      <c r="G20" s="5" t="s">
        <v>1031</v>
      </c>
      <c r="H20" s="5" t="s">
        <v>17</v>
      </c>
      <c r="I20" s="69" t="s">
        <v>1032</v>
      </c>
      <c r="J20" s="5" t="s">
        <v>18</v>
      </c>
      <c r="K20" s="5" t="s">
        <v>485</v>
      </c>
      <c r="L20" s="69" t="s">
        <v>486</v>
      </c>
    </row>
    <row r="21" spans="2:14" x14ac:dyDescent="0.25">
      <c r="B21" s="5" t="s">
        <v>1033</v>
      </c>
      <c r="C21" s="8">
        <v>0</v>
      </c>
      <c r="D21" s="8">
        <v>146587</v>
      </c>
      <c r="E21" s="8">
        <v>146587</v>
      </c>
      <c r="F21" s="8">
        <v>187753.5</v>
      </c>
      <c r="G21" s="8">
        <v>187753.5</v>
      </c>
      <c r="H21" s="8">
        <v>211603</v>
      </c>
      <c r="I21" s="8">
        <v>211603</v>
      </c>
      <c r="J21" s="8">
        <v>253164</v>
      </c>
      <c r="K21" s="8">
        <v>296713</v>
      </c>
      <c r="L21" s="8">
        <v>337938</v>
      </c>
      <c r="N21" s="101" t="s">
        <v>1048</v>
      </c>
    </row>
    <row r="22" spans="2:14" x14ac:dyDescent="0.25">
      <c r="B22" s="5" t="s">
        <v>1034</v>
      </c>
      <c r="C22" s="8">
        <v>0</v>
      </c>
      <c r="D22" s="8">
        <v>3017</v>
      </c>
      <c r="E22" s="8">
        <v>3017</v>
      </c>
      <c r="F22" s="8">
        <v>3017</v>
      </c>
      <c r="G22" s="8">
        <v>3017</v>
      </c>
      <c r="H22" s="8">
        <v>6034</v>
      </c>
      <c r="I22" s="8">
        <v>6034</v>
      </c>
      <c r="J22" s="8">
        <v>6034</v>
      </c>
      <c r="K22" s="8">
        <v>9051</v>
      </c>
      <c r="L22" s="8">
        <v>9051</v>
      </c>
      <c r="N22" t="s">
        <v>1035</v>
      </c>
    </row>
    <row r="23" spans="2:14" x14ac:dyDescent="0.25">
      <c r="B23" s="5" t="s">
        <v>1036</v>
      </c>
      <c r="C23" s="8">
        <v>0</v>
      </c>
      <c r="D23" s="8">
        <v>38012.932362445412</v>
      </c>
      <c r="E23" s="8">
        <v>38012.932362445412</v>
      </c>
      <c r="F23" s="8">
        <v>38012.932362445412</v>
      </c>
      <c r="G23" s="8">
        <v>38012.932362445412</v>
      </c>
      <c r="H23" s="8">
        <v>42268.465227074237</v>
      </c>
      <c r="I23" s="8">
        <v>42268.465227074237</v>
      </c>
      <c r="J23" s="8">
        <v>45066.648366812224</v>
      </c>
      <c r="K23" s="8">
        <v>46463.894144104801</v>
      </c>
      <c r="L23" s="8">
        <v>46463.894144104801</v>
      </c>
      <c r="N23" s="101" t="s">
        <v>1035</v>
      </c>
    </row>
    <row r="24" spans="2:14" x14ac:dyDescent="0.25">
      <c r="B24" s="5" t="s">
        <v>1037</v>
      </c>
      <c r="C24" s="8">
        <v>0</v>
      </c>
      <c r="D24" s="8">
        <v>28612.903846153848</v>
      </c>
      <c r="E24" s="8" t="s">
        <v>153</v>
      </c>
      <c r="F24" s="8">
        <v>28612.903846153848</v>
      </c>
      <c r="G24" s="8" t="s">
        <v>153</v>
      </c>
      <c r="H24" s="8">
        <v>35388.692307692312</v>
      </c>
      <c r="I24" s="8" t="s">
        <v>153</v>
      </c>
      <c r="J24" s="8">
        <v>41012</v>
      </c>
      <c r="K24" s="8">
        <v>51586.326923076929</v>
      </c>
      <c r="L24" s="8">
        <v>63163.1</v>
      </c>
      <c r="N24" s="101" t="s">
        <v>1038</v>
      </c>
    </row>
    <row r="25" spans="2:14" x14ac:dyDescent="0.25">
      <c r="B25" s="5" t="s">
        <v>1039</v>
      </c>
      <c r="C25" s="8">
        <v>0</v>
      </c>
      <c r="D25" s="8">
        <v>22167.608395257212</v>
      </c>
      <c r="E25" s="8" t="s">
        <v>153</v>
      </c>
      <c r="F25" s="8">
        <v>31074.946198366109</v>
      </c>
      <c r="G25" s="8" t="s">
        <v>153</v>
      </c>
      <c r="H25" s="8">
        <v>46563.575597389674</v>
      </c>
      <c r="I25" s="8" t="s">
        <v>153</v>
      </c>
      <c r="J25" s="8">
        <v>66189.478302972333</v>
      </c>
      <c r="K25" s="8">
        <v>81974.940911377955</v>
      </c>
      <c r="L25" s="8">
        <v>93830.525432036593</v>
      </c>
      <c r="N25" s="101" t="s">
        <v>1049</v>
      </c>
    </row>
    <row r="26" spans="2:14" x14ac:dyDescent="0.25">
      <c r="B26" s="5" t="s">
        <v>1040</v>
      </c>
      <c r="C26" s="8">
        <v>0</v>
      </c>
      <c r="D26" s="8">
        <v>1757.4714386875958</v>
      </c>
      <c r="E26" s="8">
        <v>1757.4714386875958</v>
      </c>
      <c r="F26" s="8">
        <v>1757.4714386875958</v>
      </c>
      <c r="G26" s="8">
        <v>1757.4714386875958</v>
      </c>
      <c r="H26" s="8">
        <v>1757.4714386875958</v>
      </c>
      <c r="I26" s="8">
        <v>1757.4714386875958</v>
      </c>
      <c r="J26" s="8">
        <v>1757.4714386875958</v>
      </c>
      <c r="K26" s="8">
        <v>1757.4714386875958</v>
      </c>
      <c r="L26" s="8">
        <v>1757.4714386875958</v>
      </c>
      <c r="N26" t="s">
        <v>1035</v>
      </c>
    </row>
    <row r="27" spans="2:14" x14ac:dyDescent="0.25">
      <c r="B27" s="5" t="s">
        <v>1041</v>
      </c>
      <c r="C27" s="8">
        <v>0</v>
      </c>
      <c r="D27" s="8">
        <v>28143.333292576419</v>
      </c>
      <c r="E27" s="8">
        <v>28143.333292576419</v>
      </c>
      <c r="F27" s="8">
        <v>40942.238855895193</v>
      </c>
      <c r="G27" s="8">
        <v>40942.238855895193</v>
      </c>
      <c r="H27" s="8">
        <v>54997.323419213972</v>
      </c>
      <c r="I27" s="8">
        <v>54997.323419213972</v>
      </c>
      <c r="J27" s="8">
        <v>67796.228982532746</v>
      </c>
      <c r="K27" s="8">
        <v>81851.313545851532</v>
      </c>
      <c r="L27" s="8">
        <v>94650.219109170299</v>
      </c>
      <c r="N27" s="101" t="s">
        <v>1035</v>
      </c>
    </row>
    <row r="28" spans="2:14" x14ac:dyDescent="0.25">
      <c r="B28" s="5" t="s">
        <v>1042</v>
      </c>
      <c r="C28" s="8">
        <v>0</v>
      </c>
      <c r="D28" s="8">
        <v>30090.825091467013</v>
      </c>
      <c r="E28" s="8">
        <v>30090.825091467013</v>
      </c>
      <c r="F28" s="8">
        <v>30090.825091467013</v>
      </c>
      <c r="G28" s="8">
        <v>30090.825091467013</v>
      </c>
      <c r="H28" s="8">
        <v>30090.825091467013</v>
      </c>
      <c r="I28" s="8">
        <v>30090.825091467013</v>
      </c>
      <c r="J28" s="8">
        <v>30090.825091467013</v>
      </c>
      <c r="K28" s="8">
        <v>30090.825091467013</v>
      </c>
      <c r="L28" s="8">
        <v>30090.825091467013</v>
      </c>
      <c r="N28" t="s">
        <v>1035</v>
      </c>
    </row>
    <row r="29" spans="2:14" x14ac:dyDescent="0.25">
      <c r="B29" s="5" t="s">
        <v>1043</v>
      </c>
      <c r="C29" s="8">
        <v>0</v>
      </c>
      <c r="D29" s="8">
        <v>27711.177386993983</v>
      </c>
      <c r="E29" s="8">
        <v>27711.177386993983</v>
      </c>
      <c r="F29" s="8">
        <v>27711.177386993983</v>
      </c>
      <c r="G29" s="8">
        <v>27711.177386993983</v>
      </c>
      <c r="H29" s="8">
        <v>35861.935441992217</v>
      </c>
      <c r="I29" s="8">
        <v>35861.935441992217</v>
      </c>
      <c r="J29" s="8">
        <v>35861.935441992217</v>
      </c>
      <c r="K29" s="8">
        <v>35861.935441992217</v>
      </c>
      <c r="L29" s="8">
        <v>35861.935441992217</v>
      </c>
      <c r="N29" t="s">
        <v>1050</v>
      </c>
    </row>
    <row r="30" spans="2:14" x14ac:dyDescent="0.25">
      <c r="B30" s="5" t="s">
        <v>1044</v>
      </c>
      <c r="C30" s="8">
        <v>4.2028985507246375E-2</v>
      </c>
      <c r="D30" s="8">
        <v>31535.88157894737</v>
      </c>
      <c r="E30" s="8">
        <v>31535.88157894737</v>
      </c>
      <c r="F30" s="8">
        <v>47303.822368421053</v>
      </c>
      <c r="G30" s="8">
        <v>47303.822368421053</v>
      </c>
      <c r="H30" s="8">
        <v>63071.76315789474</v>
      </c>
      <c r="I30" s="8">
        <v>63071.76315789474</v>
      </c>
      <c r="J30" s="8">
        <v>78839.703947368427</v>
      </c>
      <c r="K30" s="8">
        <v>94607.644736842107</v>
      </c>
      <c r="L30" s="8">
        <v>110375.5855263158</v>
      </c>
      <c r="N30" t="s">
        <v>1035</v>
      </c>
    </row>
    <row r="31" spans="2:14" x14ac:dyDescent="0.25">
      <c r="B31" s="967" t="s">
        <v>1109</v>
      </c>
      <c r="C31" s="8">
        <v>0</v>
      </c>
      <c r="D31" s="8">
        <v>-11500</v>
      </c>
      <c r="E31" s="8">
        <v>-11500</v>
      </c>
      <c r="F31" s="8">
        <v>-11500</v>
      </c>
      <c r="G31" s="8">
        <v>-11500</v>
      </c>
      <c r="H31" s="8">
        <v>-11500</v>
      </c>
      <c r="I31" s="8">
        <v>-11500</v>
      </c>
      <c r="J31" s="8">
        <v>-11500</v>
      </c>
      <c r="K31" s="8">
        <v>-11500</v>
      </c>
      <c r="L31" s="8">
        <v>-11500</v>
      </c>
    </row>
    <row r="32" spans="2:14" x14ac:dyDescent="0.25">
      <c r="B32" s="934" t="s">
        <v>1045</v>
      </c>
      <c r="C32" s="935">
        <v>0</v>
      </c>
      <c r="D32" s="935">
        <v>32068.930131004367</v>
      </c>
      <c r="E32" s="935">
        <v>32068.930131004367</v>
      </c>
      <c r="F32" s="935">
        <v>32068.930131004367</v>
      </c>
      <c r="G32" s="935">
        <v>32068.930131004367</v>
      </c>
      <c r="H32" s="935">
        <v>32068.930131004367</v>
      </c>
      <c r="I32" s="935">
        <v>32068.930131004367</v>
      </c>
      <c r="J32" s="935">
        <v>32068.930131004367</v>
      </c>
      <c r="K32" s="935">
        <v>32068.930131004367</v>
      </c>
      <c r="L32" s="935">
        <v>32068.930131004367</v>
      </c>
      <c r="N32" s="101" t="s">
        <v>1047</v>
      </c>
    </row>
    <row r="33" spans="2:14" x14ac:dyDescent="0.25">
      <c r="B33" s="2"/>
      <c r="C33" s="922"/>
      <c r="D33" s="922"/>
      <c r="E33" s="922"/>
      <c r="F33" s="922"/>
      <c r="G33" s="922"/>
      <c r="H33" s="922"/>
      <c r="I33" s="922"/>
      <c r="J33" s="922"/>
      <c r="K33" s="922"/>
      <c r="L33" s="8"/>
      <c r="N33" s="101"/>
    </row>
    <row r="34" spans="2:14" ht="13" x14ac:dyDescent="0.3">
      <c r="B34" s="2"/>
      <c r="C34" s="923">
        <v>4.2028985507246375E-2</v>
      </c>
      <c r="D34" s="924">
        <f>SUM(D21:D31)</f>
        <v>346136.13339252881</v>
      </c>
      <c r="E34" s="924">
        <f t="shared" ref="E34:L34" si="3">SUM(E21:E31)</f>
        <v>295355.62115111778</v>
      </c>
      <c r="F34" s="924">
        <f t="shared" si="3"/>
        <v>424776.81754843018</v>
      </c>
      <c r="G34" s="924">
        <f t="shared" si="3"/>
        <v>365088.96750391024</v>
      </c>
      <c r="H34" s="924">
        <f t="shared" si="3"/>
        <v>516137.05168141169</v>
      </c>
      <c r="I34" s="924">
        <f t="shared" si="3"/>
        <v>434184.78377632971</v>
      </c>
      <c r="J34" s="924">
        <f t="shared" si="3"/>
        <v>614312.29157183249</v>
      </c>
      <c r="K34" s="924">
        <f t="shared" si="3"/>
        <v>718458.35223340022</v>
      </c>
      <c r="L34" s="924">
        <f t="shared" si="3"/>
        <v>811682.55618377437</v>
      </c>
    </row>
    <row r="35" spans="2:14" x14ac:dyDescent="0.25">
      <c r="H35" s="2"/>
      <c r="I35" s="2"/>
    </row>
    <row r="36" spans="2:14" x14ac:dyDescent="0.25">
      <c r="B36" s="109" t="s">
        <v>1046</v>
      </c>
      <c r="D36" s="7">
        <f>31696.1333925288-11500</f>
        <v>20196.133392528802</v>
      </c>
      <c r="E36" s="7">
        <f>21465.6211511178-11500</f>
        <v>9965.6211511178008</v>
      </c>
      <c r="F36" s="7">
        <f>36826.8175484302-11500</f>
        <v>25326.817548430197</v>
      </c>
      <c r="G36" s="7">
        <f>948.967503910244-11500</f>
        <v>-10551.032496089756</v>
      </c>
      <c r="H36" s="7">
        <f>49657.0516814117-11500</f>
        <v>38157.0516814117</v>
      </c>
      <c r="I36" s="7">
        <f>32504.7837763297-11500</f>
        <v>21004.783776329699</v>
      </c>
      <c r="J36" s="7">
        <f>58592.2915718325-11500</f>
        <v>47092.291571832502</v>
      </c>
      <c r="K36" s="7">
        <f>66758.3522334002-11500</f>
        <v>55258.352233400205</v>
      </c>
      <c r="L36" s="7"/>
    </row>
    <row r="37" spans="2:14" x14ac:dyDescent="0.25">
      <c r="D37" s="609">
        <f>D36/'2324 School Size Ranges'!H4</f>
        <v>6.1962068249646951E-2</v>
      </c>
      <c r="F37" s="609">
        <f>F36/'2324 School Size Ranges'!H6</f>
        <v>6.3403494535875154E-2</v>
      </c>
      <c r="H37" s="609">
        <f>H36/'2324 School Size Ranges'!H8</f>
        <v>7.9829507486292792E-2</v>
      </c>
      <c r="J37" s="609">
        <f>J36/'2324 School Size Ranges'!H10</f>
        <v>8.3022828089637901E-2</v>
      </c>
      <c r="K37" s="609">
        <f>K36/'2324 School Size Ranges'!H12</f>
        <v>8.3321248778491869E-2</v>
      </c>
    </row>
    <row r="38" spans="2:14" ht="13" x14ac:dyDescent="0.3">
      <c r="B38" s="165" t="s">
        <v>1052</v>
      </c>
      <c r="C38" s="7"/>
      <c r="D38" s="7"/>
      <c r="E38" s="7"/>
      <c r="F38" s="7"/>
      <c r="G38" s="7"/>
      <c r="H38" s="7"/>
      <c r="J38" s="61"/>
    </row>
    <row r="39" spans="2:14" x14ac:dyDescent="0.25">
      <c r="C39" s="7"/>
      <c r="D39" s="7"/>
      <c r="E39" s="7"/>
      <c r="F39" s="7"/>
      <c r="G39" s="7"/>
      <c r="H39" s="7"/>
    </row>
    <row r="40" spans="2:14" ht="26" x14ac:dyDescent="0.3">
      <c r="B40" s="862" t="s">
        <v>1053</v>
      </c>
      <c r="C40" s="929" t="s">
        <v>483</v>
      </c>
      <c r="D40" s="929" t="s">
        <v>484</v>
      </c>
      <c r="E40" s="714" t="s">
        <v>15</v>
      </c>
      <c r="F40" s="714" t="s">
        <v>16</v>
      </c>
      <c r="G40" s="714" t="s">
        <v>17</v>
      </c>
      <c r="H40" s="714" t="s">
        <v>18</v>
      </c>
      <c r="I40" s="8" t="s">
        <v>485</v>
      </c>
      <c r="J40" s="8" t="s">
        <v>486</v>
      </c>
    </row>
    <row r="41" spans="2:14" ht="13" x14ac:dyDescent="0.3">
      <c r="B41" s="5" t="s">
        <v>1054</v>
      </c>
      <c r="C41" s="8">
        <v>0</v>
      </c>
      <c r="D41" s="930">
        <v>0</v>
      </c>
      <c r="E41" s="930">
        <v>10757.526</v>
      </c>
      <c r="F41" s="931">
        <v>13446.907499999999</v>
      </c>
      <c r="G41" s="931">
        <v>16136.289000000001</v>
      </c>
      <c r="H41" s="931">
        <v>18825.6705</v>
      </c>
      <c r="I41" s="931">
        <v>21515.052</v>
      </c>
      <c r="J41" s="930">
        <v>24204.18</v>
      </c>
    </row>
    <row r="42" spans="2:14" ht="13" x14ac:dyDescent="0.3">
      <c r="B42" s="5" t="s">
        <v>1055</v>
      </c>
      <c r="C42" s="8">
        <v>0</v>
      </c>
      <c r="D42" s="930">
        <v>0</v>
      </c>
      <c r="E42" s="930">
        <v>10757.526</v>
      </c>
      <c r="F42" s="931">
        <v>13446.907499999999</v>
      </c>
      <c r="G42" s="931">
        <v>16136.289000000001</v>
      </c>
      <c r="H42" s="931">
        <v>18825.6705</v>
      </c>
      <c r="I42" s="931">
        <v>21515.052</v>
      </c>
      <c r="J42" s="930">
        <v>24204.18</v>
      </c>
    </row>
    <row r="43" spans="2:14" x14ac:dyDescent="0.25">
      <c r="B43" s="959" t="s">
        <v>1080</v>
      </c>
      <c r="C43" s="960">
        <v>0</v>
      </c>
      <c r="D43" s="961">
        <v>0</v>
      </c>
      <c r="E43" s="961">
        <v>3709.56</v>
      </c>
      <c r="F43" s="961">
        <v>3858.3749999999995</v>
      </c>
      <c r="G43" s="961">
        <v>3947.5769999999998</v>
      </c>
      <c r="H43" s="961">
        <v>5017.17</v>
      </c>
      <c r="I43" s="961">
        <v>5170.0350000000008</v>
      </c>
      <c r="J43" s="961">
        <v>5322.5700000000006</v>
      </c>
      <c r="L43" t="s">
        <v>1081</v>
      </c>
    </row>
    <row r="44" spans="2:14" x14ac:dyDescent="0.25">
      <c r="B44" s="959" t="s">
        <v>1082</v>
      </c>
      <c r="C44" s="960">
        <v>0</v>
      </c>
      <c r="D44" s="961">
        <v>0</v>
      </c>
      <c r="E44" s="961">
        <v>18763.030000000002</v>
      </c>
      <c r="F44" s="961">
        <v>19665.208750000002</v>
      </c>
      <c r="G44" s="961">
        <v>20294.161249999997</v>
      </c>
      <c r="H44" s="961">
        <v>25636.682499999999</v>
      </c>
      <c r="I44" s="961">
        <v>26557.423750000002</v>
      </c>
      <c r="J44" s="961">
        <v>27476.6525</v>
      </c>
      <c r="L44" t="s">
        <v>1081</v>
      </c>
    </row>
    <row r="45" spans="2:14" x14ac:dyDescent="0.25">
      <c r="B45" s="959" t="s">
        <v>1083</v>
      </c>
      <c r="C45" s="960">
        <v>0</v>
      </c>
      <c r="D45" s="961">
        <v>0</v>
      </c>
      <c r="E45" s="961">
        <v>12108.656999999999</v>
      </c>
      <c r="F45" s="961">
        <v>12756.319125</v>
      </c>
      <c r="G45" s="961">
        <v>13240.045500000002</v>
      </c>
      <c r="H45" s="961">
        <v>16658.268</v>
      </c>
      <c r="I45" s="961">
        <v>17317.067625000003</v>
      </c>
      <c r="J45" s="961">
        <v>17974.959750000002</v>
      </c>
      <c r="L45" t="s">
        <v>1081</v>
      </c>
    </row>
    <row r="46" spans="2:14" ht="13" x14ac:dyDescent="0.3">
      <c r="B46" s="5" t="s">
        <v>1056</v>
      </c>
      <c r="C46" s="8">
        <v>0</v>
      </c>
      <c r="D46" s="930">
        <v>0</v>
      </c>
      <c r="E46" s="930">
        <v>1074.8399999999999</v>
      </c>
      <c r="F46" s="931">
        <v>1613.6289000000002</v>
      </c>
      <c r="G46" s="931">
        <v>2151.5052000000001</v>
      </c>
      <c r="H46" s="931">
        <v>3227.2578000000003</v>
      </c>
      <c r="I46" s="931">
        <v>4303.0104000000001</v>
      </c>
      <c r="J46" s="930">
        <v>5379.27</v>
      </c>
    </row>
    <row r="47" spans="2:14" ht="13" x14ac:dyDescent="0.3">
      <c r="B47" s="5" t="s">
        <v>1057</v>
      </c>
      <c r="C47" s="8">
        <v>0</v>
      </c>
      <c r="D47" s="930">
        <v>0</v>
      </c>
      <c r="E47" s="930">
        <v>4302.402</v>
      </c>
      <c r="F47" s="931">
        <v>4840.8867</v>
      </c>
      <c r="G47" s="931">
        <v>5378.7629999999999</v>
      </c>
      <c r="H47" s="931">
        <v>6454.5156000000006</v>
      </c>
      <c r="I47" s="931">
        <v>7530.2682000000004</v>
      </c>
      <c r="J47" s="930">
        <v>8605.8179999999993</v>
      </c>
    </row>
    <row r="48" spans="2:14" ht="13" x14ac:dyDescent="0.3">
      <c r="B48" s="5" t="s">
        <v>1058</v>
      </c>
      <c r="C48" s="8">
        <v>0</v>
      </c>
      <c r="D48" s="930">
        <v>0</v>
      </c>
      <c r="E48" s="930">
        <v>4302.402</v>
      </c>
      <c r="F48" s="931">
        <v>4840.8867</v>
      </c>
      <c r="G48" s="931">
        <v>5378.7629999999999</v>
      </c>
      <c r="H48" s="931">
        <v>5916.6392999999998</v>
      </c>
      <c r="I48" s="931">
        <v>6454.5156000000006</v>
      </c>
      <c r="J48" s="930">
        <v>6991.53</v>
      </c>
    </row>
    <row r="49" spans="2:12" ht="13" x14ac:dyDescent="0.3">
      <c r="B49" s="5" t="s">
        <v>1059</v>
      </c>
      <c r="C49" s="8">
        <v>0</v>
      </c>
      <c r="D49" s="930">
        <v>0</v>
      </c>
      <c r="E49" s="930">
        <v>3227.5619999999999</v>
      </c>
      <c r="F49" s="931">
        <v>3227.2578000000003</v>
      </c>
      <c r="G49" s="931">
        <v>3227.2578000000003</v>
      </c>
      <c r="H49" s="931">
        <v>5378.7629999999999</v>
      </c>
      <c r="I49" s="931">
        <v>5378.7629999999999</v>
      </c>
      <c r="J49" s="930">
        <v>5379.27</v>
      </c>
    </row>
    <row r="50" spans="2:12" ht="13" x14ac:dyDescent="0.3">
      <c r="B50" s="5" t="s">
        <v>1060</v>
      </c>
      <c r="C50" s="8">
        <v>0</v>
      </c>
      <c r="D50" s="930">
        <v>0</v>
      </c>
      <c r="E50" s="930">
        <v>4303.4160000000002</v>
      </c>
      <c r="F50" s="931">
        <v>4303.0104000000001</v>
      </c>
      <c r="G50" s="931">
        <v>4303.0104000000001</v>
      </c>
      <c r="H50" s="931">
        <v>4303.0104000000001</v>
      </c>
      <c r="I50" s="931">
        <v>4303.0104000000001</v>
      </c>
      <c r="J50" s="930">
        <v>4303.0104000000001</v>
      </c>
    </row>
    <row r="51" spans="2:12" ht="13" x14ac:dyDescent="0.3">
      <c r="B51" s="5" t="s">
        <v>1061</v>
      </c>
      <c r="C51" s="8">
        <v>0</v>
      </c>
      <c r="D51" s="930">
        <v>0</v>
      </c>
      <c r="E51" s="930">
        <v>7530.9780000000001</v>
      </c>
      <c r="F51" s="931">
        <v>8068.1445000000003</v>
      </c>
      <c r="G51" s="931">
        <v>8606.0208000000002</v>
      </c>
      <c r="H51" s="931">
        <v>9143.8971000000001</v>
      </c>
      <c r="I51" s="931">
        <v>9681.7734</v>
      </c>
      <c r="J51" s="930">
        <v>10219.092000000001</v>
      </c>
    </row>
    <row r="52" spans="2:12" ht="13" x14ac:dyDescent="0.3">
      <c r="B52" s="5" t="s">
        <v>1062</v>
      </c>
      <c r="C52" s="8">
        <v>0</v>
      </c>
      <c r="D52" s="930">
        <v>0</v>
      </c>
      <c r="E52" s="930">
        <v>4302.402</v>
      </c>
      <c r="F52" s="931">
        <v>4840.8867</v>
      </c>
      <c r="G52" s="931">
        <v>5378.7629999999999</v>
      </c>
      <c r="H52" s="931">
        <v>6454.5156000000006</v>
      </c>
      <c r="I52" s="931">
        <v>7530.2682000000004</v>
      </c>
      <c r="J52" s="930">
        <v>8605.8179999999993</v>
      </c>
    </row>
    <row r="53" spans="2:12" ht="13" x14ac:dyDescent="0.3">
      <c r="B53" s="5" t="s">
        <v>1063</v>
      </c>
      <c r="C53" s="8">
        <v>0</v>
      </c>
      <c r="D53" s="930">
        <v>0</v>
      </c>
      <c r="E53" s="930">
        <v>8605.8179999999993</v>
      </c>
      <c r="F53" s="931">
        <v>8606.0208000000002</v>
      </c>
      <c r="G53" s="931">
        <v>10757.526</v>
      </c>
      <c r="H53" s="931">
        <v>10757.526</v>
      </c>
      <c r="I53" s="931">
        <v>10757.526</v>
      </c>
      <c r="J53" s="930">
        <v>10757.526</v>
      </c>
    </row>
    <row r="54" spans="2:12" ht="13" x14ac:dyDescent="0.3">
      <c r="B54" s="69" t="s">
        <v>1064</v>
      </c>
      <c r="C54" s="8">
        <v>0</v>
      </c>
      <c r="D54" s="930">
        <v>0</v>
      </c>
      <c r="E54" s="930">
        <v>8605.8179999999993</v>
      </c>
      <c r="F54" s="931">
        <v>9681.7734</v>
      </c>
      <c r="G54" s="931">
        <v>9681.7734</v>
      </c>
      <c r="H54" s="931">
        <v>10757.526</v>
      </c>
      <c r="I54" s="931">
        <v>10757.526</v>
      </c>
      <c r="J54" s="930">
        <v>10757.526</v>
      </c>
    </row>
    <row r="55" spans="2:12" ht="13" x14ac:dyDescent="0.3">
      <c r="B55" s="962" t="s">
        <v>1065</v>
      </c>
      <c r="C55" s="961">
        <v>0</v>
      </c>
      <c r="D55" s="961">
        <v>0</v>
      </c>
      <c r="E55" s="961">
        <v>2095.9380000000001</v>
      </c>
      <c r="F55" s="963">
        <v>2525.5444500000003</v>
      </c>
      <c r="G55" s="963">
        <v>3385.4164500000002</v>
      </c>
      <c r="H55" s="963">
        <v>4029.30645</v>
      </c>
      <c r="I55" s="963">
        <v>4835.4364500000001</v>
      </c>
      <c r="J55" s="961">
        <v>5842.6679999999997</v>
      </c>
      <c r="L55" t="s">
        <v>1084</v>
      </c>
    </row>
    <row r="56" spans="2:12" ht="13" x14ac:dyDescent="0.3">
      <c r="B56" s="69" t="s">
        <v>1066</v>
      </c>
      <c r="C56" s="930">
        <v>0</v>
      </c>
      <c r="D56" s="930">
        <v>0</v>
      </c>
      <c r="E56" s="930">
        <v>9950.71155</v>
      </c>
      <c r="F56" s="931">
        <v>9950.71155</v>
      </c>
      <c r="G56" s="931">
        <v>9950.71155</v>
      </c>
      <c r="H56" s="931">
        <v>9950.71155</v>
      </c>
      <c r="I56" s="931">
        <v>9950.71155</v>
      </c>
      <c r="J56" s="930">
        <v>9950.3819999999996</v>
      </c>
    </row>
    <row r="57" spans="2:12" ht="13" x14ac:dyDescent="0.3">
      <c r="B57" s="952" t="s">
        <v>1067</v>
      </c>
      <c r="C57" s="935"/>
      <c r="D57" s="935"/>
      <c r="E57" s="953">
        <v>4875.3119999999999</v>
      </c>
      <c r="F57" s="954">
        <v>2823.9900000000002</v>
      </c>
      <c r="G57" s="954">
        <v>268.93815000000001</v>
      </c>
      <c r="H57" s="954">
        <v>2689.3815</v>
      </c>
      <c r="I57" s="954">
        <v>672.28200000000004</v>
      </c>
      <c r="J57" s="953">
        <v>-1347.606</v>
      </c>
      <c r="L57" t="s">
        <v>1085</v>
      </c>
    </row>
    <row r="58" spans="2:12" x14ac:dyDescent="0.25">
      <c r="B58" s="109"/>
      <c r="C58" s="7"/>
      <c r="D58" s="7"/>
      <c r="E58" s="7"/>
      <c r="F58" s="932"/>
      <c r="G58" s="7"/>
      <c r="H58" s="7"/>
    </row>
    <row r="59" spans="2:12" ht="13" x14ac:dyDescent="0.3">
      <c r="C59" s="7">
        <v>35349.163243950003</v>
      </c>
      <c r="D59" s="24"/>
      <c r="E59" s="933">
        <v>114398.58655000001</v>
      </c>
      <c r="F59" s="933">
        <v>125672.46977500001</v>
      </c>
      <c r="G59" s="933">
        <v>137953.87235000002</v>
      </c>
      <c r="H59" s="933">
        <v>161337.13030000002</v>
      </c>
      <c r="I59" s="933">
        <v>173557.43957500005</v>
      </c>
      <c r="J59" s="933">
        <v>185974.45265000005</v>
      </c>
    </row>
    <row r="60" spans="2:12" x14ac:dyDescent="0.25">
      <c r="C60" s="7"/>
      <c r="D60" s="7"/>
      <c r="E60" s="7"/>
      <c r="F60" s="7"/>
      <c r="G60" s="7"/>
      <c r="H60" s="7"/>
    </row>
    <row r="61" spans="2:12" x14ac:dyDescent="0.25">
      <c r="C61" s="7">
        <v>1.1439858655000001</v>
      </c>
      <c r="D61" s="7"/>
      <c r="E61" t="s">
        <v>1077</v>
      </c>
      <c r="F61" s="7"/>
      <c r="G61" s="7"/>
      <c r="H61" s="7"/>
    </row>
    <row r="62" spans="2:12" x14ac:dyDescent="0.25">
      <c r="C62" s="7"/>
      <c r="D62" s="7"/>
      <c r="E62"/>
      <c r="F62" s="7"/>
      <c r="G62" s="7"/>
      <c r="H62" s="7"/>
    </row>
    <row r="63" spans="2:12" ht="13" x14ac:dyDescent="0.3">
      <c r="C63" s="7"/>
      <c r="D63" s="7"/>
      <c r="E63" s="24" t="s">
        <v>1086</v>
      </c>
      <c r="F63" s="7">
        <v>100930.159975</v>
      </c>
      <c r="G63" s="7"/>
      <c r="H63" s="7"/>
    </row>
    <row r="64" spans="2:12" x14ac:dyDescent="0.25">
      <c r="C64" s="7"/>
      <c r="D64" s="7"/>
      <c r="E64" s="7"/>
      <c r="F64" s="154">
        <v>2000</v>
      </c>
      <c r="G64" s="154"/>
      <c r="H64" s="7"/>
    </row>
    <row r="65" spans="3:8" x14ac:dyDescent="0.25">
      <c r="C65" s="7"/>
      <c r="D65" s="7"/>
      <c r="E65" s="7"/>
      <c r="F65" s="7"/>
      <c r="G65" s="7"/>
      <c r="H65" s="7"/>
    </row>
    <row r="66" spans="3:8" ht="13" x14ac:dyDescent="0.3">
      <c r="C66" s="7"/>
      <c r="D66" s="7"/>
      <c r="E66" s="7"/>
      <c r="F66" s="933">
        <v>102930.159975</v>
      </c>
      <c r="G66" s="7"/>
      <c r="H66" s="7"/>
    </row>
  </sheetData>
  <mergeCells count="4">
    <mergeCell ref="H2:I2"/>
    <mergeCell ref="J2:K2"/>
    <mergeCell ref="B3:C3"/>
    <mergeCell ref="E3:F3"/>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tabColor rgb="FFFFFF00"/>
    <pageSetUpPr fitToPage="1"/>
  </sheetPr>
  <dimension ref="A1:M178"/>
  <sheetViews>
    <sheetView showWhiteSpace="0" zoomScale="85" zoomScaleNormal="85" workbookViewId="0">
      <selection activeCell="D4" sqref="D4"/>
    </sheetView>
  </sheetViews>
  <sheetFormatPr defaultColWidth="9.1796875" defaultRowHeight="15.5" x14ac:dyDescent="0.35"/>
  <cols>
    <col min="1" max="5" width="22.7265625" style="392" customWidth="1"/>
    <col min="6" max="6" width="24.26953125" style="392" customWidth="1"/>
    <col min="7" max="7" width="22.7265625" style="392" customWidth="1"/>
    <col min="8" max="8" width="8.1796875" style="520" customWidth="1"/>
    <col min="9" max="9" width="22.7265625" style="392" customWidth="1"/>
    <col min="10" max="16384" width="9.1796875" style="392"/>
  </cols>
  <sheetData>
    <row r="1" spans="1:13" x14ac:dyDescent="0.35">
      <c r="A1" s="411" t="s">
        <v>928</v>
      </c>
      <c r="B1" s="411"/>
      <c r="C1" s="406"/>
      <c r="D1" s="406"/>
      <c r="E1" s="411"/>
      <c r="F1" s="406"/>
      <c r="G1" s="406"/>
      <c r="H1" s="412"/>
      <c r="I1" s="515"/>
      <c r="J1" s="515"/>
      <c r="K1" s="515"/>
      <c r="L1" s="515"/>
      <c r="M1" s="515"/>
    </row>
    <row r="2" spans="1:13" ht="15" customHeight="1" x14ac:dyDescent="0.35">
      <c r="A2" s="411"/>
      <c r="B2" s="411"/>
      <c r="C2" s="406"/>
      <c r="D2" s="406"/>
      <c r="E2" s="411"/>
      <c r="F2" s="406"/>
      <c r="G2" s="406"/>
      <c r="H2" s="412"/>
      <c r="I2" s="515"/>
      <c r="J2" s="515"/>
      <c r="K2" s="515"/>
      <c r="L2" s="515"/>
      <c r="M2" s="515"/>
    </row>
    <row r="3" spans="1:13" x14ac:dyDescent="0.35">
      <c r="A3" s="411" t="s">
        <v>20</v>
      </c>
      <c r="B3" s="395"/>
      <c r="C3" s="406"/>
      <c r="D3" s="406"/>
      <c r="E3" s="406"/>
      <c r="F3" s="406"/>
      <c r="G3" s="413"/>
      <c r="H3" s="412"/>
      <c r="I3" s="515"/>
      <c r="J3" s="515"/>
      <c r="K3" s="516"/>
      <c r="L3" s="515"/>
      <c r="M3" s="517"/>
    </row>
    <row r="4" spans="1:13" x14ac:dyDescent="0.35">
      <c r="A4" s="411"/>
      <c r="B4" s="395"/>
      <c r="C4" s="414" t="s">
        <v>21</v>
      </c>
      <c r="D4" s="415"/>
      <c r="E4" s="416"/>
      <c r="F4" s="411" t="e">
        <f>VLOOKUP(D4,'2223 Funding Detail'!A4:AQ22,2,FALSE)</f>
        <v>#N/A</v>
      </c>
      <c r="G4" s="417"/>
      <c r="H4" s="412"/>
      <c r="I4" s="515"/>
      <c r="J4" s="515"/>
      <c r="K4" s="516"/>
      <c r="L4" s="515"/>
      <c r="M4" s="515"/>
    </row>
    <row r="5" spans="1:13" x14ac:dyDescent="0.35">
      <c r="A5" s="411"/>
      <c r="B5" s="414"/>
      <c r="C5" s="418"/>
      <c r="D5" s="406"/>
      <c r="E5" s="416"/>
      <c r="F5" s="411"/>
      <c r="G5" s="417"/>
      <c r="H5" s="412"/>
      <c r="I5" s="515"/>
      <c r="J5" s="515"/>
      <c r="K5" s="516"/>
      <c r="L5" s="515"/>
      <c r="M5" s="515"/>
    </row>
    <row r="6" spans="1:13" x14ac:dyDescent="0.35">
      <c r="A6" s="406"/>
      <c r="B6" s="406"/>
      <c r="C6" s="406"/>
      <c r="D6" s="406"/>
      <c r="E6" s="406" t="s">
        <v>34</v>
      </c>
      <c r="F6" s="406" t="s">
        <v>197</v>
      </c>
      <c r="G6" s="406" t="s">
        <v>198</v>
      </c>
      <c r="H6" s="412"/>
      <c r="I6" s="515"/>
      <c r="J6" s="518"/>
      <c r="K6" s="515"/>
      <c r="L6" s="515"/>
      <c r="M6" s="515"/>
    </row>
    <row r="7" spans="1:13" x14ac:dyDescent="0.35">
      <c r="A7" s="406" t="s">
        <v>929</v>
      </c>
      <c r="B7" s="406"/>
      <c r="C7" s="406"/>
      <c r="D7" s="406"/>
      <c r="E7" s="395" t="e">
        <f>VLOOKUP($D$4,'2425 Band Calculations'!A6:Q22,11,FALSE)</f>
        <v>#N/A</v>
      </c>
      <c r="F7" s="407">
        <f>10000*(5/12)</f>
        <v>4166.666666666667</v>
      </c>
      <c r="G7" s="407" t="e">
        <f>VLOOKUP(D4,'2425 Band Calculations'!A6:S22,15,FALSE)</f>
        <v>#N/A</v>
      </c>
      <c r="H7" s="412"/>
      <c r="I7" s="515"/>
      <c r="J7" s="518"/>
      <c r="K7" s="515"/>
      <c r="L7" s="515"/>
      <c r="M7" s="515"/>
    </row>
    <row r="8" spans="1:13" x14ac:dyDescent="0.35">
      <c r="A8" s="406" t="s">
        <v>930</v>
      </c>
      <c r="B8" s="406"/>
      <c r="C8" s="406"/>
      <c r="D8" s="406"/>
      <c r="E8" s="395" t="e">
        <f>VLOOKUP(D4,'2425 Band Calculations'!A48:Q64,11,FALSE)</f>
        <v>#N/A</v>
      </c>
      <c r="F8" s="407">
        <f>10000*(7/12)</f>
        <v>5833.3333333333339</v>
      </c>
      <c r="G8" s="407" t="e">
        <f>VLOOKUP(D4,'2425 Band Calculations'!A48:S64,15,FALSE)</f>
        <v>#N/A</v>
      </c>
      <c r="H8" s="412"/>
      <c r="I8" s="515"/>
      <c r="J8" s="518"/>
      <c r="K8" s="515"/>
      <c r="L8" s="515"/>
      <c r="M8" s="515"/>
    </row>
    <row r="9" spans="1:13" x14ac:dyDescent="0.35">
      <c r="A9" s="406"/>
      <c r="B9" s="406"/>
      <c r="C9" s="406"/>
      <c r="D9" s="406"/>
      <c r="E9" s="395"/>
      <c r="F9" s="420">
        <f>SUM(F7:F8)</f>
        <v>10000</v>
      </c>
      <c r="G9" s="420" t="e">
        <f>VLOOKUP(D4,'2425 Band Calculations'!A104:AM120,22,FALSE)</f>
        <v>#N/A</v>
      </c>
      <c r="H9" s="412"/>
      <c r="I9" s="515"/>
      <c r="J9" s="518"/>
      <c r="K9" s="515"/>
      <c r="L9" s="515"/>
      <c r="M9" s="515"/>
    </row>
    <row r="10" spans="1:13" x14ac:dyDescent="0.35">
      <c r="A10" s="406"/>
      <c r="B10" s="406"/>
      <c r="C10" s="406"/>
      <c r="D10" s="406"/>
      <c r="E10" s="406"/>
      <c r="F10" s="395"/>
      <c r="G10" s="395"/>
      <c r="H10" s="395">
        <v>1</v>
      </c>
      <c r="I10" s="515"/>
      <c r="J10" s="518"/>
      <c r="K10" s="515"/>
      <c r="L10" s="515"/>
      <c r="M10" s="515"/>
    </row>
    <row r="11" spans="1:13" x14ac:dyDescent="0.35">
      <c r="A11" s="406" t="s">
        <v>931</v>
      </c>
      <c r="B11" s="406"/>
      <c r="C11" s="406"/>
      <c r="D11" s="406"/>
      <c r="E11" s="406" t="e">
        <f>VLOOKUP(D4,'2425 Band Calculations'!A27:N43,11,FALSE)</f>
        <v>#N/A</v>
      </c>
      <c r="F11" s="407">
        <f>10000*(4/12)</f>
        <v>3333.333333333333</v>
      </c>
      <c r="G11" s="407" t="e">
        <f>VLOOKUP(D4,'2425 Band Calculations'!A27:P43,15,FALSE)</f>
        <v>#N/A</v>
      </c>
      <c r="H11" s="412"/>
      <c r="I11" s="515"/>
      <c r="J11" s="518"/>
      <c r="K11" s="515"/>
      <c r="L11" s="515"/>
      <c r="M11" s="515"/>
    </row>
    <row r="12" spans="1:13" x14ac:dyDescent="0.35">
      <c r="A12" s="406" t="s">
        <v>932</v>
      </c>
      <c r="B12" s="406"/>
      <c r="C12" s="406"/>
      <c r="D12" s="406"/>
      <c r="E12" s="406" t="e">
        <f>VLOOKUP(D4,'2425 Band Calculations'!A69:N85,11,FALSE)</f>
        <v>#N/A</v>
      </c>
      <c r="F12" s="407">
        <f>10000*(8/12)</f>
        <v>6666.6666666666661</v>
      </c>
      <c r="G12" s="407" t="e">
        <f>VLOOKUP(D4,'2425 Band Calculations'!A69:P85,15,FALSE)</f>
        <v>#N/A</v>
      </c>
      <c r="H12" s="412"/>
      <c r="I12" s="515"/>
      <c r="J12" s="518"/>
      <c r="K12" s="515"/>
      <c r="L12" s="515"/>
      <c r="M12" s="515"/>
    </row>
    <row r="13" spans="1:13" x14ac:dyDescent="0.35">
      <c r="A13" s="411"/>
      <c r="B13" s="406"/>
      <c r="C13" s="406"/>
      <c r="D13" s="406"/>
      <c r="E13" s="406"/>
      <c r="F13" s="420">
        <f>SUM(F11:F12)</f>
        <v>10000</v>
      </c>
      <c r="G13" s="421" t="e">
        <f>VLOOKUP(D4,'2425 Band Calculations'!A104:AM120,23,FALSE)</f>
        <v>#N/A</v>
      </c>
      <c r="H13" s="412"/>
      <c r="I13" s="515"/>
      <c r="J13" s="518"/>
      <c r="K13" s="515"/>
      <c r="L13" s="515"/>
      <c r="M13" s="515"/>
    </row>
    <row r="14" spans="1:13" x14ac:dyDescent="0.35">
      <c r="A14" s="411"/>
      <c r="B14" s="406"/>
      <c r="C14" s="406"/>
      <c r="D14" s="406"/>
      <c r="E14" s="406"/>
      <c r="F14" s="407"/>
      <c r="G14" s="422"/>
      <c r="H14" s="412"/>
      <c r="I14" s="515"/>
      <c r="J14" s="518"/>
      <c r="K14" s="515"/>
      <c r="L14" s="515"/>
      <c r="M14" s="515"/>
    </row>
    <row r="15" spans="1:13" x14ac:dyDescent="0.35">
      <c r="A15" s="406"/>
      <c r="B15" s="406"/>
      <c r="C15" s="406"/>
      <c r="D15" s="406" t="s">
        <v>199</v>
      </c>
      <c r="E15" s="412" t="e">
        <f>VLOOKUP(D4,'2425 Band Calculations'!A104:AM121,19,FALSE)</f>
        <v>#N/A</v>
      </c>
      <c r="F15" s="406" t="s">
        <v>200</v>
      </c>
      <c r="G15" s="423" t="e">
        <f>VLOOKUP(D4,'2425 Band Calculations'!A104:AM120,24,FALSE)</f>
        <v>#N/A</v>
      </c>
      <c r="H15" s="412">
        <v>2</v>
      </c>
      <c r="I15" s="515"/>
      <c r="J15" s="518"/>
      <c r="K15" s="515"/>
      <c r="L15" s="515"/>
      <c r="M15" s="515"/>
    </row>
    <row r="16" spans="1:13" ht="16" thickBot="1" x14ac:dyDescent="0.4">
      <c r="A16" s="406"/>
      <c r="B16" s="406"/>
      <c r="C16" s="406"/>
      <c r="D16" s="406"/>
      <c r="E16" s="406"/>
      <c r="F16" s="406"/>
      <c r="G16" s="422"/>
      <c r="H16" s="412"/>
      <c r="I16" s="515"/>
      <c r="J16" s="518"/>
      <c r="K16" s="515"/>
      <c r="L16" s="515"/>
      <c r="M16" s="515"/>
    </row>
    <row r="17" spans="1:13" ht="16" thickBot="1" x14ac:dyDescent="0.4">
      <c r="A17" s="406" t="s">
        <v>933</v>
      </c>
      <c r="B17" s="406"/>
      <c r="C17" s="424" t="e">
        <f>VLOOKUP(D4,'2425 Funding Detail'!A4:AA20,24,FALSE)</f>
        <v>#N/A</v>
      </c>
      <c r="D17" s="395" t="s">
        <v>201</v>
      </c>
      <c r="E17" s="395"/>
      <c r="F17" s="395"/>
      <c r="G17" s="406"/>
      <c r="H17" s="412">
        <v>3</v>
      </c>
      <c r="I17" s="515"/>
      <c r="J17" s="518"/>
      <c r="K17" s="515"/>
      <c r="L17" s="515"/>
      <c r="M17" s="515"/>
    </row>
    <row r="18" spans="1:13" ht="16" thickBot="1" x14ac:dyDescent="0.4">
      <c r="A18" s="406"/>
      <c r="B18" s="406"/>
      <c r="C18" s="425"/>
      <c r="D18" s="395"/>
      <c r="E18" s="395"/>
      <c r="F18" s="395"/>
      <c r="G18" s="406"/>
      <c r="H18" s="412"/>
      <c r="I18" s="515"/>
      <c r="J18" s="518"/>
      <c r="K18" s="515"/>
      <c r="L18" s="515"/>
      <c r="M18" s="515"/>
    </row>
    <row r="19" spans="1:13" ht="16" thickBot="1" x14ac:dyDescent="0.4">
      <c r="A19" s="406"/>
      <c r="B19" s="406"/>
      <c r="C19" s="425"/>
      <c r="D19" s="406" t="s">
        <v>202</v>
      </c>
      <c r="E19" s="424" t="e">
        <f>VLOOKUP(D4,'2425 Funding Detail'!A4:AA20,20,FALSE)</f>
        <v>#N/A</v>
      </c>
      <c r="F19" s="406" t="s">
        <v>201</v>
      </c>
      <c r="G19" s="406"/>
      <c r="H19" s="412">
        <v>4</v>
      </c>
      <c r="I19" s="515"/>
      <c r="J19" s="518"/>
      <c r="K19" s="515"/>
      <c r="L19" s="515"/>
      <c r="M19" s="515"/>
    </row>
    <row r="20" spans="1:13" x14ac:dyDescent="0.35">
      <c r="A20" s="406"/>
      <c r="B20" s="406"/>
      <c r="C20" s="425"/>
      <c r="D20" s="406"/>
      <c r="E20" s="425"/>
      <c r="F20" s="406"/>
      <c r="G20" s="406"/>
      <c r="H20" s="412"/>
      <c r="I20" s="515"/>
      <c r="J20" s="518"/>
      <c r="K20" s="515"/>
      <c r="L20" s="515"/>
      <c r="M20" s="515"/>
    </row>
    <row r="21" spans="1:13" x14ac:dyDescent="0.35">
      <c r="A21" s="406"/>
      <c r="B21" s="406"/>
      <c r="C21" s="406"/>
      <c r="D21" s="406"/>
      <c r="E21" s="406" t="s">
        <v>203</v>
      </c>
      <c r="F21" s="406" t="s">
        <v>204</v>
      </c>
      <c r="G21" s="406" t="s">
        <v>58</v>
      </c>
      <c r="H21" s="412"/>
      <c r="I21" s="515"/>
      <c r="J21" s="518"/>
      <c r="K21" s="515"/>
      <c r="L21" s="515"/>
      <c r="M21" s="515"/>
    </row>
    <row r="22" spans="1:13" x14ac:dyDescent="0.35">
      <c r="A22" s="406" t="s">
        <v>934</v>
      </c>
      <c r="B22" s="406"/>
      <c r="C22" s="406"/>
      <c r="D22" s="406"/>
      <c r="E22" s="395" t="e">
        <f>VLOOKUP($D$4,'2425 Band Calculations'!A6:Q22,11,FALSE)</f>
        <v>#N/A</v>
      </c>
      <c r="F22" s="422" t="e">
        <f>C17*(5/12)</f>
        <v>#N/A</v>
      </c>
      <c r="G22" s="422" t="e">
        <f>VLOOKUP(D4,'2425 Band Calculations'!A6:S22,16,FALSE)</f>
        <v>#N/A</v>
      </c>
      <c r="H22" s="412"/>
      <c r="I22" s="519"/>
      <c r="J22" s="518"/>
      <c r="K22" s="515"/>
      <c r="L22" s="515"/>
      <c r="M22" s="515"/>
    </row>
    <row r="23" spans="1:13" x14ac:dyDescent="0.35">
      <c r="A23" s="406" t="s">
        <v>935</v>
      </c>
      <c r="B23" s="406"/>
      <c r="C23" s="406"/>
      <c r="D23" s="406"/>
      <c r="E23" s="395" t="e">
        <f>VLOOKUP(D4,'2425 Band Calculations'!A48:Q64,11,FALSE)</f>
        <v>#N/A</v>
      </c>
      <c r="F23" s="422" t="e">
        <f>C17*(7/12)</f>
        <v>#N/A</v>
      </c>
      <c r="G23" s="422" t="e">
        <f>VLOOKUP(D4,'2425 Band Calculations'!A48:S64,16,FALSE)</f>
        <v>#N/A</v>
      </c>
      <c r="H23" s="412"/>
      <c r="I23" s="519"/>
      <c r="J23" s="518"/>
      <c r="K23" s="515"/>
      <c r="L23" s="515"/>
      <c r="M23" s="515"/>
    </row>
    <row r="24" spans="1:13" x14ac:dyDescent="0.35">
      <c r="A24" s="395"/>
      <c r="B24" s="406"/>
      <c r="C24" s="406"/>
      <c r="D24" s="406"/>
      <c r="E24" s="406"/>
      <c r="F24" s="421" t="e">
        <f>SUM(F22:F23)</f>
        <v>#N/A</v>
      </c>
      <c r="G24" s="421" t="e">
        <f>VLOOKUP(D4,'2425 Band Calculations'!A104:AM120,31,FALSE)</f>
        <v>#N/A</v>
      </c>
      <c r="H24" s="412">
        <v>5</v>
      </c>
      <c r="I24" s="515"/>
      <c r="J24" s="518"/>
      <c r="K24" s="515"/>
      <c r="L24" s="515"/>
      <c r="M24" s="515"/>
    </row>
    <row r="25" spans="1:13" x14ac:dyDescent="0.35">
      <c r="A25" s="395"/>
      <c r="B25" s="406"/>
      <c r="C25" s="406"/>
      <c r="D25" s="406"/>
      <c r="E25" s="406"/>
      <c r="F25" s="422"/>
      <c r="G25" s="422"/>
      <c r="H25" s="412"/>
      <c r="I25" s="515"/>
      <c r="J25" s="518"/>
      <c r="K25" s="515"/>
      <c r="L25" s="515"/>
      <c r="M25" s="515"/>
    </row>
    <row r="26" spans="1:13" x14ac:dyDescent="0.35">
      <c r="A26" s="406" t="s">
        <v>936</v>
      </c>
      <c r="B26" s="406"/>
      <c r="C26" s="406"/>
      <c r="D26" s="406"/>
      <c r="E26" s="406" t="e">
        <f>VLOOKUP(D4,'2425 Band Calculations'!A27:N43,11,FALSE)</f>
        <v>#N/A</v>
      </c>
      <c r="F26" s="422" t="e">
        <f>C17*(4/12)</f>
        <v>#N/A</v>
      </c>
      <c r="G26" s="422" t="e">
        <f>VLOOKUP(D4,'2425 Band Calculations'!A27:P43,16,FALSE)</f>
        <v>#N/A</v>
      </c>
      <c r="H26" s="412"/>
      <c r="I26" s="519"/>
      <c r="J26" s="518"/>
      <c r="K26" s="515"/>
      <c r="L26" s="515"/>
      <c r="M26" s="515"/>
    </row>
    <row r="27" spans="1:13" x14ac:dyDescent="0.35">
      <c r="A27" s="406" t="s">
        <v>937</v>
      </c>
      <c r="B27" s="395"/>
      <c r="C27" s="395"/>
      <c r="D27" s="395"/>
      <c r="E27" s="406" t="e">
        <f>VLOOKUP(D4,'2425 Band Calculations'!A69:N85,11,FALSE)</f>
        <v>#N/A</v>
      </c>
      <c r="F27" s="422" t="e">
        <f>(8/12)*C17</f>
        <v>#N/A</v>
      </c>
      <c r="G27" s="422" t="e">
        <f>VLOOKUP(D4,'2425 Band Calculations'!A69:P85,16,FALSE)</f>
        <v>#N/A</v>
      </c>
      <c r="H27" s="426"/>
      <c r="I27" s="519"/>
    </row>
    <row r="28" spans="1:13" x14ac:dyDescent="0.35">
      <c r="A28" s="395"/>
      <c r="B28" s="395"/>
      <c r="C28" s="395"/>
      <c r="D28" s="395"/>
      <c r="E28" s="395"/>
      <c r="F28" s="420" t="e">
        <f>SUM(F26:F27)</f>
        <v>#N/A</v>
      </c>
      <c r="G28" s="420" t="e">
        <f>VLOOKUP(D4,'2425 Band Calculations'!A104:AM120,34,FALSE)</f>
        <v>#N/A</v>
      </c>
      <c r="H28" s="426">
        <v>6</v>
      </c>
    </row>
    <row r="29" spans="1:13" x14ac:dyDescent="0.35">
      <c r="A29" s="395"/>
      <c r="B29" s="395"/>
      <c r="C29" s="395"/>
      <c r="D29" s="395"/>
      <c r="E29" s="395"/>
      <c r="F29" s="407"/>
      <c r="G29" s="407"/>
      <c r="H29" s="426"/>
    </row>
    <row r="30" spans="1:13" x14ac:dyDescent="0.35">
      <c r="A30" s="395"/>
      <c r="B30" s="395"/>
      <c r="C30" s="395"/>
      <c r="D30" s="395"/>
      <c r="E30" s="395"/>
      <c r="F30" s="620" t="s">
        <v>205</v>
      </c>
      <c r="G30" s="423" t="e">
        <f>VLOOKUP(D4,'2425 Band Calculations'!A104:AM120,35,FALSE)</f>
        <v>#N/A</v>
      </c>
      <c r="H30" s="426">
        <v>7</v>
      </c>
    </row>
    <row r="31" spans="1:13" x14ac:dyDescent="0.35">
      <c r="A31" s="395"/>
      <c r="B31" s="395"/>
      <c r="C31" s="395"/>
      <c r="D31" s="395"/>
      <c r="E31" s="395"/>
      <c r="F31" s="407"/>
      <c r="G31" s="395"/>
      <c r="H31" s="426"/>
      <c r="L31" s="392" t="s">
        <v>206</v>
      </c>
    </row>
    <row r="32" spans="1:13" ht="16" thickBot="1" x14ac:dyDescent="0.4">
      <c r="A32" s="395"/>
      <c r="B32" s="395"/>
      <c r="C32" s="395"/>
      <c r="D32" s="395"/>
      <c r="E32" s="1018" t="s">
        <v>938</v>
      </c>
      <c r="F32" s="1018"/>
      <c r="G32" s="427" t="e">
        <f>VLOOKUP(D4,'2425 Band Calculations'!A104:AM120,37,FALSE)</f>
        <v>#N/A</v>
      </c>
      <c r="H32" s="426">
        <v>8</v>
      </c>
    </row>
    <row r="33" spans="1:10" ht="16.5" thickTop="1" thickBot="1" x14ac:dyDescent="0.4">
      <c r="A33" s="395"/>
      <c r="B33" s="395"/>
      <c r="C33" s="395"/>
      <c r="D33" s="395"/>
      <c r="E33" s="395"/>
      <c r="F33" s="407"/>
      <c r="G33" s="395"/>
      <c r="H33" s="426"/>
    </row>
    <row r="34" spans="1:10" ht="16" thickBot="1" x14ac:dyDescent="0.4">
      <c r="A34" s="395" t="s">
        <v>207</v>
      </c>
      <c r="B34" s="395"/>
      <c r="C34" s="395"/>
      <c r="D34" s="428" t="e">
        <f>VLOOKUP(D4,'2425 Funding Detail'!A4:P20,15,FALSE)</f>
        <v>#N/A</v>
      </c>
      <c r="E34" s="395"/>
      <c r="F34" s="395"/>
      <c r="G34" s="395"/>
      <c r="H34" s="426">
        <v>9</v>
      </c>
    </row>
    <row r="35" spans="1:10" ht="16" thickBot="1" x14ac:dyDescent="0.4">
      <c r="A35" s="395"/>
      <c r="B35" s="395"/>
      <c r="C35" s="395"/>
      <c r="D35" s="395"/>
      <c r="E35" s="395"/>
      <c r="F35" s="395"/>
      <c r="G35" s="395"/>
      <c r="H35" s="426"/>
    </row>
    <row r="36" spans="1:10" ht="16" thickBot="1" x14ac:dyDescent="0.4">
      <c r="A36" s="1010" t="s">
        <v>1169</v>
      </c>
      <c r="B36" s="395"/>
      <c r="C36" s="395"/>
      <c r="D36" s="407" t="s">
        <v>1191</v>
      </c>
      <c r="E36" s="1013" t="e">
        <f>VLOOKUP(D4,'2425 3.4% Allocations'!B30:S47,14,FALSE)</f>
        <v>#N/A</v>
      </c>
      <c r="F36" s="395"/>
      <c r="G36" s="1009" t="e">
        <f>VLOOKUP(D4,'2425 3.4% Allocations'!B30:S47,18,FALSE)</f>
        <v>#N/A</v>
      </c>
      <c r="H36" s="426">
        <v>10</v>
      </c>
    </row>
    <row r="37" spans="1:10" x14ac:dyDescent="0.35">
      <c r="A37" s="395"/>
      <c r="B37" s="395"/>
      <c r="C37" s="395"/>
      <c r="D37" s="407"/>
      <c r="E37" s="395"/>
      <c r="F37" s="395"/>
      <c r="G37" s="395"/>
      <c r="H37" s="426"/>
    </row>
    <row r="38" spans="1:10" ht="16" thickBot="1" x14ac:dyDescent="0.4">
      <c r="A38" s="516" t="s">
        <v>1170</v>
      </c>
      <c r="B38" s="395"/>
      <c r="C38" s="395"/>
      <c r="D38" s="407"/>
      <c r="E38" s="395"/>
      <c r="F38" s="395"/>
      <c r="G38" s="427" t="e">
        <f>G32+G36</f>
        <v>#N/A</v>
      </c>
      <c r="H38" s="426">
        <v>11</v>
      </c>
    </row>
    <row r="39" spans="1:10" ht="16" thickTop="1" x14ac:dyDescent="0.35">
      <c r="A39" s="395"/>
      <c r="B39" s="395"/>
      <c r="C39" s="395"/>
      <c r="D39" s="408"/>
      <c r="E39" s="395"/>
      <c r="F39" s="395"/>
      <c r="G39" s="395"/>
      <c r="H39" s="426"/>
    </row>
    <row r="40" spans="1:10" x14ac:dyDescent="0.35">
      <c r="A40" s="429" t="s">
        <v>26</v>
      </c>
      <c r="B40" s="395"/>
      <c r="C40" s="395"/>
      <c r="D40" s="395"/>
      <c r="E40" s="395"/>
      <c r="F40" s="407"/>
      <c r="G40" s="395"/>
      <c r="H40" s="426"/>
      <c r="J40" s="392" t="s">
        <v>206</v>
      </c>
    </row>
    <row r="41" spans="1:10" x14ac:dyDescent="0.35">
      <c r="A41" s="430" t="s">
        <v>27</v>
      </c>
      <c r="B41" s="395"/>
      <c r="C41" s="395"/>
      <c r="D41" s="395"/>
      <c r="E41" s="395"/>
      <c r="F41" s="407"/>
      <c r="G41" s="395"/>
      <c r="H41" s="426"/>
    </row>
    <row r="42" spans="1:10" x14ac:dyDescent="0.35">
      <c r="A42" s="407" t="s">
        <v>28</v>
      </c>
      <c r="B42" s="395"/>
      <c r="C42" s="395"/>
      <c r="D42" s="407" t="e">
        <f>VLOOKUP(D4,'2425 Funding Detail'!A4:AD20,6,FALSE)</f>
        <v>#N/A</v>
      </c>
      <c r="E42" s="395"/>
      <c r="F42" s="407"/>
      <c r="G42" s="395"/>
      <c r="H42" s="426"/>
    </row>
    <row r="43" spans="1:10" x14ac:dyDescent="0.35">
      <c r="A43" s="407" t="s">
        <v>29</v>
      </c>
      <c r="B43" s="395"/>
      <c r="C43" s="395"/>
      <c r="D43" s="407" t="e">
        <f>VLOOKUP(D4,'2425 Funding Detail'!A4:AD20,7,FALSE)</f>
        <v>#N/A</v>
      </c>
      <c r="E43" s="395"/>
      <c r="F43" s="407"/>
      <c r="G43" s="395"/>
      <c r="H43" s="426"/>
    </row>
    <row r="44" spans="1:10" x14ac:dyDescent="0.35">
      <c r="A44" s="407"/>
      <c r="B44" s="395"/>
      <c r="C44" s="395"/>
      <c r="D44" s="407"/>
      <c r="E44" s="395"/>
      <c r="F44" s="407"/>
      <c r="G44" s="395"/>
      <c r="H44" s="426"/>
    </row>
    <row r="45" spans="1:10" x14ac:dyDescent="0.35">
      <c r="A45" s="430" t="s">
        <v>30</v>
      </c>
      <c r="B45" s="395"/>
      <c r="C45" s="395"/>
      <c r="D45" s="407"/>
      <c r="E45" s="395"/>
      <c r="F45" s="407"/>
      <c r="G45" s="408"/>
      <c r="H45" s="426">
        <v>12</v>
      </c>
    </row>
    <row r="46" spans="1:10" x14ac:dyDescent="0.35">
      <c r="A46" s="407" t="s">
        <v>5</v>
      </c>
      <c r="B46" s="395"/>
      <c r="C46" s="395"/>
      <c r="D46" s="407" t="e">
        <f>VLOOKUP(D4,'2425 Other Funding'!B7:F23,3,FALSE)</f>
        <v>#N/A</v>
      </c>
      <c r="E46" s="395"/>
      <c r="F46" s="395"/>
      <c r="G46" s="395"/>
      <c r="H46" s="426"/>
    </row>
    <row r="47" spans="1:10" x14ac:dyDescent="0.35">
      <c r="A47" s="407" t="s">
        <v>4</v>
      </c>
      <c r="B47" s="395"/>
      <c r="C47" s="395"/>
      <c r="D47" s="407" t="e">
        <f>VLOOKUP(D4,'2425 Other Funding'!B7:F23,4,FALSE)</f>
        <v>#N/A</v>
      </c>
      <c r="E47" s="1019"/>
      <c r="F47" s="1019"/>
      <c r="G47" s="408"/>
      <c r="H47" s="426"/>
    </row>
    <row r="48" spans="1:10" x14ac:dyDescent="0.35">
      <c r="A48" s="407"/>
      <c r="B48" s="395"/>
      <c r="C48" s="395"/>
      <c r="D48" s="407"/>
      <c r="E48" s="395"/>
      <c r="F48" s="395"/>
      <c r="G48" s="395"/>
      <c r="H48" s="426"/>
    </row>
    <row r="49" spans="1:8" x14ac:dyDescent="0.35">
      <c r="A49" s="408" t="s">
        <v>31</v>
      </c>
      <c r="B49" s="418"/>
      <c r="C49" s="418"/>
      <c r="D49" s="431" t="e">
        <f>SUM(D42:D47)</f>
        <v>#N/A</v>
      </c>
      <c r="E49" s="395"/>
      <c r="F49" s="395"/>
      <c r="G49" s="395"/>
      <c r="H49" s="426"/>
    </row>
    <row r="50" spans="1:8" x14ac:dyDescent="0.35">
      <c r="A50" s="408"/>
      <c r="B50" s="418"/>
      <c r="C50" s="418"/>
      <c r="D50" s="408"/>
      <c r="E50" s="395"/>
      <c r="F50" s="395"/>
      <c r="G50" s="395"/>
      <c r="H50" s="426"/>
    </row>
    <row r="51" spans="1:8" x14ac:dyDescent="0.35">
      <c r="A51" s="395"/>
      <c r="B51" s="395"/>
      <c r="C51" s="395"/>
      <c r="D51" s="395"/>
      <c r="E51" s="408" t="s">
        <v>922</v>
      </c>
      <c r="F51" s="395"/>
      <c r="G51" s="731" t="e">
        <f>G38+D49</f>
        <v>#N/A</v>
      </c>
      <c r="H51" s="426">
        <v>13</v>
      </c>
    </row>
    <row r="52" spans="1:8" x14ac:dyDescent="0.35">
      <c r="A52" s="395"/>
      <c r="B52" s="395"/>
      <c r="C52" s="395"/>
      <c r="D52" s="395"/>
      <c r="E52" s="408"/>
      <c r="F52" s="395"/>
      <c r="G52" s="408"/>
      <c r="H52" s="426"/>
    </row>
    <row r="53" spans="1:8" x14ac:dyDescent="0.35">
      <c r="A53" s="395"/>
      <c r="B53" s="395"/>
      <c r="C53" s="395"/>
      <c r="D53" s="395"/>
      <c r="E53" s="408"/>
      <c r="F53" s="395"/>
      <c r="G53" s="408"/>
      <c r="H53" s="426"/>
    </row>
    <row r="54" spans="1:8" ht="15.65" customHeight="1" x14ac:dyDescent="0.35">
      <c r="A54" s="1016" t="s">
        <v>209</v>
      </c>
      <c r="B54" s="1016"/>
      <c r="C54" s="1016"/>
      <c r="D54" s="1016"/>
      <c r="E54" s="1016"/>
      <c r="F54" s="1016"/>
      <c r="G54" s="1016"/>
      <c r="H54" s="1016"/>
    </row>
    <row r="55" spans="1:8" x14ac:dyDescent="0.35">
      <c r="A55" s="1016"/>
      <c r="B55" s="1016"/>
      <c r="C55" s="1016"/>
      <c r="D55" s="1016"/>
      <c r="E55" s="1016"/>
      <c r="F55" s="1016"/>
      <c r="G55" s="1016"/>
      <c r="H55" s="1016"/>
    </row>
    <row r="56" spans="1:8" x14ac:dyDescent="0.35">
      <c r="A56" s="1016"/>
      <c r="B56" s="1016"/>
      <c r="C56" s="1016"/>
      <c r="D56" s="1016"/>
      <c r="E56" s="1016"/>
      <c r="F56" s="1016"/>
      <c r="G56" s="1016"/>
      <c r="H56" s="1016"/>
    </row>
    <row r="57" spans="1:8" ht="12.75" customHeight="1" x14ac:dyDescent="0.35">
      <c r="A57" s="410"/>
      <c r="B57" s="410"/>
      <c r="C57" s="410"/>
      <c r="D57" s="410"/>
      <c r="E57" s="410"/>
      <c r="F57" s="410"/>
      <c r="G57" s="410"/>
      <c r="H57" s="410"/>
    </row>
    <row r="58" spans="1:8" ht="12.75" customHeight="1" x14ac:dyDescent="0.35">
      <c r="A58" s="1016" t="s">
        <v>1154</v>
      </c>
      <c r="B58" s="1016"/>
      <c r="C58" s="1016"/>
      <c r="D58" s="1016"/>
      <c r="E58" s="1016"/>
      <c r="F58" s="1016"/>
      <c r="G58" s="1016"/>
      <c r="H58" s="1016"/>
    </row>
    <row r="59" spans="1:8" ht="12.75" customHeight="1" x14ac:dyDescent="0.35">
      <c r="A59" s="1016"/>
      <c r="B59" s="1016"/>
      <c r="C59" s="1016"/>
      <c r="D59" s="1016"/>
      <c r="E59" s="1016"/>
      <c r="F59" s="1016"/>
      <c r="G59" s="1016"/>
      <c r="H59" s="1016"/>
    </row>
    <row r="60" spans="1:8" x14ac:dyDescent="0.35">
      <c r="A60" s="1016"/>
      <c r="B60" s="1016"/>
      <c r="C60" s="1016"/>
      <c r="D60" s="1016"/>
      <c r="E60" s="1016"/>
      <c r="F60" s="1016"/>
      <c r="G60" s="1016"/>
      <c r="H60" s="1016"/>
    </row>
    <row r="61" spans="1:8" x14ac:dyDescent="0.35">
      <c r="A61" s="1016"/>
      <c r="B61" s="1016"/>
      <c r="C61" s="1016"/>
      <c r="D61" s="1016"/>
      <c r="E61" s="1016"/>
      <c r="F61" s="1016"/>
      <c r="G61" s="1016"/>
      <c r="H61" s="1016"/>
    </row>
    <row r="62" spans="1:8" x14ac:dyDescent="0.35">
      <c r="A62" s="1016"/>
      <c r="B62" s="1016"/>
      <c r="C62" s="1016"/>
      <c r="D62" s="1016"/>
      <c r="E62" s="1016"/>
      <c r="F62" s="1016"/>
      <c r="G62" s="1016"/>
      <c r="H62" s="1016"/>
    </row>
    <row r="63" spans="1:8" x14ac:dyDescent="0.35">
      <c r="A63" s="1016"/>
      <c r="B63" s="1016"/>
      <c r="C63" s="1016"/>
      <c r="D63" s="1016"/>
      <c r="E63" s="1016"/>
      <c r="F63" s="1016"/>
      <c r="G63" s="1016"/>
      <c r="H63" s="1016"/>
    </row>
    <row r="64" spans="1:8" x14ac:dyDescent="0.35">
      <c r="A64" s="1016"/>
      <c r="B64" s="1016"/>
      <c r="C64" s="1016"/>
      <c r="D64" s="1016"/>
      <c r="E64" s="1016"/>
      <c r="F64" s="1016"/>
      <c r="G64" s="1016"/>
      <c r="H64" s="1016"/>
    </row>
    <row r="65" spans="1:8" x14ac:dyDescent="0.35">
      <c r="A65" s="1016"/>
      <c r="B65" s="1016"/>
      <c r="C65" s="1016"/>
      <c r="D65" s="1016"/>
      <c r="E65" s="1016"/>
      <c r="F65" s="1016"/>
      <c r="G65" s="1016"/>
      <c r="H65" s="1016"/>
    </row>
    <row r="66" spans="1:8" ht="15.65" customHeight="1" x14ac:dyDescent="0.35">
      <c r="A66" s="410"/>
      <c r="B66" s="410"/>
      <c r="C66" s="410"/>
      <c r="D66" s="410"/>
      <c r="E66" s="410"/>
      <c r="F66" s="410"/>
      <c r="G66" s="410"/>
      <c r="H66" s="410"/>
    </row>
    <row r="67" spans="1:8" ht="12.75" customHeight="1" x14ac:dyDescent="0.35">
      <c r="A67" s="1016" t="s">
        <v>1155</v>
      </c>
      <c r="B67" s="1016"/>
      <c r="C67" s="1016"/>
      <c r="D67" s="1016"/>
      <c r="E67" s="1016"/>
      <c r="F67" s="1016"/>
      <c r="G67" s="1016"/>
      <c r="H67" s="1016"/>
    </row>
    <row r="68" spans="1:8" x14ac:dyDescent="0.35">
      <c r="A68" s="1016"/>
      <c r="B68" s="1016"/>
      <c r="C68" s="1016"/>
      <c r="D68" s="1016"/>
      <c r="E68" s="1016"/>
      <c r="F68" s="1016"/>
      <c r="G68" s="1016"/>
      <c r="H68" s="1016"/>
    </row>
    <row r="69" spans="1:8" x14ac:dyDescent="0.35">
      <c r="A69" s="1016"/>
      <c r="B69" s="1016"/>
      <c r="C69" s="1016"/>
      <c r="D69" s="1016"/>
      <c r="E69" s="1016"/>
      <c r="F69" s="1016"/>
      <c r="G69" s="1016"/>
      <c r="H69" s="1016"/>
    </row>
    <row r="70" spans="1:8" x14ac:dyDescent="0.35">
      <c r="A70" s="1016"/>
      <c r="B70" s="1016"/>
      <c r="C70" s="1016"/>
      <c r="D70" s="1016"/>
      <c r="E70" s="1016"/>
      <c r="F70" s="1016"/>
      <c r="G70" s="1016"/>
      <c r="H70" s="1016"/>
    </row>
    <row r="71" spans="1:8" ht="12.75" customHeight="1" x14ac:dyDescent="0.35">
      <c r="A71" s="395"/>
      <c r="B71" s="395"/>
      <c r="C71" s="395"/>
      <c r="D71" s="395"/>
      <c r="E71" s="395"/>
      <c r="F71" s="395"/>
      <c r="G71" s="395"/>
      <c r="H71" s="426"/>
    </row>
    <row r="72" spans="1:8" x14ac:dyDescent="0.35">
      <c r="A72" s="1016" t="s">
        <v>210</v>
      </c>
      <c r="B72" s="1016"/>
      <c r="C72" s="1016"/>
      <c r="D72" s="1016"/>
      <c r="E72" s="1016"/>
      <c r="F72" s="1016"/>
      <c r="G72" s="1016"/>
      <c r="H72" s="1016"/>
    </row>
    <row r="73" spans="1:8" x14ac:dyDescent="0.35">
      <c r="A73" s="1016"/>
      <c r="B73" s="1016"/>
      <c r="C73" s="1016"/>
      <c r="D73" s="1016"/>
      <c r="E73" s="1016"/>
      <c r="F73" s="1016"/>
      <c r="G73" s="1016"/>
      <c r="H73" s="1016"/>
    </row>
    <row r="74" spans="1:8" x14ac:dyDescent="0.35">
      <c r="A74" s="1016"/>
      <c r="B74" s="1016"/>
      <c r="C74" s="1016"/>
      <c r="D74" s="1016"/>
      <c r="E74" s="1016"/>
      <c r="F74" s="1016"/>
      <c r="G74" s="1016"/>
      <c r="H74" s="1016"/>
    </row>
    <row r="75" spans="1:8" x14ac:dyDescent="0.35">
      <c r="A75" s="1016"/>
      <c r="B75" s="1016"/>
      <c r="C75" s="1016"/>
      <c r="D75" s="1016"/>
      <c r="E75" s="1016"/>
      <c r="F75" s="1016"/>
      <c r="G75" s="1016"/>
      <c r="H75" s="1016"/>
    </row>
    <row r="76" spans="1:8" x14ac:dyDescent="0.35">
      <c r="A76" s="1016"/>
      <c r="B76" s="1016"/>
      <c r="C76" s="1016"/>
      <c r="D76" s="1016"/>
      <c r="E76" s="1016"/>
      <c r="F76" s="1016"/>
      <c r="G76" s="1016"/>
      <c r="H76" s="1016"/>
    </row>
    <row r="77" spans="1:8" ht="47.5" customHeight="1" x14ac:dyDescent="0.35">
      <c r="A77" s="1016"/>
      <c r="B77" s="1016"/>
      <c r="C77" s="1016"/>
      <c r="D77" s="1016"/>
      <c r="E77" s="1016"/>
      <c r="F77" s="1016"/>
      <c r="G77" s="1016"/>
      <c r="H77" s="1016"/>
    </row>
    <row r="78" spans="1:8" x14ac:dyDescent="0.35">
      <c r="A78" s="1016"/>
      <c r="B78" s="1016"/>
      <c r="C78" s="1016"/>
      <c r="D78" s="1016"/>
      <c r="E78" s="1016"/>
      <c r="F78" s="1016"/>
      <c r="G78" s="1016"/>
      <c r="H78" s="1016"/>
    </row>
    <row r="79" spans="1:8" ht="12.75" customHeight="1" x14ac:dyDescent="0.35">
      <c r="A79" s="410"/>
      <c r="B79" s="410"/>
      <c r="C79" s="410"/>
      <c r="D79" s="410"/>
      <c r="E79" s="410"/>
      <c r="F79" s="410"/>
      <c r="G79" s="410"/>
      <c r="H79" s="410"/>
    </row>
    <row r="80" spans="1:8" x14ac:dyDescent="0.35">
      <c r="A80" s="1016" t="s">
        <v>211</v>
      </c>
      <c r="B80" s="1016"/>
      <c r="C80" s="1016"/>
      <c r="D80" s="1016"/>
      <c r="E80" s="1016"/>
      <c r="F80" s="1016"/>
      <c r="G80" s="1016"/>
      <c r="H80" s="1016"/>
    </row>
    <row r="81" spans="1:8" x14ac:dyDescent="0.35">
      <c r="A81" s="1016"/>
      <c r="B81" s="1016"/>
      <c r="C81" s="1016"/>
      <c r="D81" s="1016"/>
      <c r="E81" s="1016"/>
      <c r="F81" s="1016"/>
      <c r="G81" s="1016"/>
      <c r="H81" s="1016"/>
    </row>
    <row r="82" spans="1:8" x14ac:dyDescent="0.35">
      <c r="A82" s="1016"/>
      <c r="B82" s="1016"/>
      <c r="C82" s="1016"/>
      <c r="D82" s="1016"/>
      <c r="E82" s="1016"/>
      <c r="F82" s="1016"/>
      <c r="G82" s="1016"/>
      <c r="H82" s="1016"/>
    </row>
    <row r="83" spans="1:8" ht="12.75" customHeight="1" x14ac:dyDescent="0.35">
      <c r="A83" s="395"/>
      <c r="B83" s="395"/>
      <c r="C83" s="395"/>
      <c r="D83" s="395"/>
      <c r="E83" s="395"/>
      <c r="F83" s="395"/>
      <c r="G83" s="395"/>
      <c r="H83" s="426"/>
    </row>
    <row r="84" spans="1:8" x14ac:dyDescent="0.35">
      <c r="A84" s="1016" t="s">
        <v>212</v>
      </c>
      <c r="B84" s="1016"/>
      <c r="C84" s="1016"/>
      <c r="D84" s="1016"/>
      <c r="E84" s="1016"/>
      <c r="F84" s="1016"/>
      <c r="G84" s="1016"/>
      <c r="H84" s="1016"/>
    </row>
    <row r="85" spans="1:8" x14ac:dyDescent="0.35">
      <c r="A85" s="1016"/>
      <c r="B85" s="1016"/>
      <c r="C85" s="1016"/>
      <c r="D85" s="1016"/>
      <c r="E85" s="1016"/>
      <c r="F85" s="1016"/>
      <c r="G85" s="1016"/>
      <c r="H85" s="1016"/>
    </row>
    <row r="86" spans="1:8" ht="31.5" customHeight="1" x14ac:dyDescent="0.35">
      <c r="A86" s="1016"/>
      <c r="B86" s="1016"/>
      <c r="C86" s="1016"/>
      <c r="D86" s="1016"/>
      <c r="E86" s="1016"/>
      <c r="F86" s="1016"/>
      <c r="G86" s="1016"/>
      <c r="H86" s="1016"/>
    </row>
    <row r="87" spans="1:8" x14ac:dyDescent="0.35">
      <c r="A87" s="1016"/>
      <c r="B87" s="1016"/>
      <c r="C87" s="1016"/>
      <c r="D87" s="1016"/>
      <c r="E87" s="1016"/>
      <c r="F87" s="1016"/>
      <c r="G87" s="1016"/>
      <c r="H87" s="1016"/>
    </row>
    <row r="88" spans="1:8" x14ac:dyDescent="0.35">
      <c r="A88" s="395"/>
      <c r="B88" s="395"/>
      <c r="C88" s="395"/>
      <c r="D88" s="395"/>
      <c r="E88" s="395"/>
      <c r="F88" s="395"/>
      <c r="G88" s="395"/>
      <c r="H88" s="426"/>
    </row>
    <row r="89" spans="1:8" x14ac:dyDescent="0.35">
      <c r="A89" s="1017" t="s">
        <v>213</v>
      </c>
      <c r="B89" s="1017"/>
      <c r="C89" s="1017"/>
      <c r="D89" s="1017"/>
      <c r="E89" s="1017"/>
      <c r="F89" s="1017"/>
      <c r="G89" s="1017"/>
      <c r="H89" s="1017"/>
    </row>
    <row r="90" spans="1:8" x14ac:dyDescent="0.35">
      <c r="A90" s="1017"/>
      <c r="B90" s="1017"/>
      <c r="C90" s="1017"/>
      <c r="D90" s="1017"/>
      <c r="E90" s="1017"/>
      <c r="F90" s="1017"/>
      <c r="G90" s="1017"/>
      <c r="H90" s="1017"/>
    </row>
    <row r="91" spans="1:8" x14ac:dyDescent="0.35">
      <c r="A91" s="395"/>
      <c r="B91" s="395"/>
      <c r="C91" s="395"/>
      <c r="D91" s="395"/>
      <c r="E91" s="395"/>
      <c r="F91" s="395"/>
      <c r="G91" s="395"/>
      <c r="H91" s="426"/>
    </row>
    <row r="92" spans="1:8" x14ac:dyDescent="0.35">
      <c r="A92" s="1017" t="s">
        <v>1156</v>
      </c>
      <c r="B92" s="1017"/>
      <c r="C92" s="1017"/>
      <c r="D92" s="1017"/>
      <c r="E92" s="1017"/>
      <c r="F92" s="1017"/>
      <c r="G92" s="1017"/>
      <c r="H92" s="1017"/>
    </row>
    <row r="93" spans="1:8" x14ac:dyDescent="0.35">
      <c r="A93" s="1017"/>
      <c r="B93" s="1017"/>
      <c r="C93" s="1017"/>
      <c r="D93" s="1017"/>
      <c r="E93" s="1017"/>
      <c r="F93" s="1017"/>
      <c r="G93" s="1017"/>
      <c r="H93" s="1017"/>
    </row>
    <row r="94" spans="1:8" ht="12.75" customHeight="1" x14ac:dyDescent="0.35">
      <c r="A94" s="395"/>
      <c r="B94" s="395"/>
      <c r="C94" s="395"/>
      <c r="D94" s="395"/>
      <c r="E94" s="395"/>
      <c r="F94" s="395"/>
      <c r="G94" s="395"/>
      <c r="H94" s="426"/>
    </row>
    <row r="95" spans="1:8" x14ac:dyDescent="0.35">
      <c r="A95" s="1016" t="s">
        <v>214</v>
      </c>
      <c r="B95" s="1016"/>
      <c r="C95" s="1016"/>
      <c r="D95" s="1016"/>
      <c r="E95" s="1016"/>
      <c r="F95" s="1016"/>
      <c r="G95" s="1016"/>
      <c r="H95" s="1016"/>
    </row>
    <row r="96" spans="1:8" x14ac:dyDescent="0.35">
      <c r="A96" s="1016"/>
      <c r="B96" s="1016"/>
      <c r="C96" s="1016"/>
      <c r="D96" s="1016"/>
      <c r="E96" s="1016"/>
      <c r="F96" s="1016"/>
      <c r="G96" s="1016"/>
      <c r="H96" s="1016"/>
    </row>
    <row r="97" spans="1:8" x14ac:dyDescent="0.35">
      <c r="A97" s="1016"/>
      <c r="B97" s="1016"/>
      <c r="C97" s="1016"/>
      <c r="D97" s="1016"/>
      <c r="E97" s="1016"/>
      <c r="F97" s="1016"/>
      <c r="G97" s="1016"/>
      <c r="H97" s="1016"/>
    </row>
    <row r="98" spans="1:8" x14ac:dyDescent="0.35">
      <c r="A98" s="1016"/>
      <c r="B98" s="1016"/>
      <c r="C98" s="1016"/>
      <c r="D98" s="1016"/>
      <c r="E98" s="1016"/>
      <c r="F98" s="1016"/>
      <c r="G98" s="1016"/>
      <c r="H98" s="1016"/>
    </row>
    <row r="99" spans="1:8" x14ac:dyDescent="0.35">
      <c r="A99" s="1016"/>
      <c r="B99" s="1016"/>
      <c r="C99" s="1016"/>
      <c r="D99" s="1016"/>
      <c r="E99" s="1016"/>
      <c r="F99" s="1016"/>
      <c r="G99" s="1016"/>
      <c r="H99" s="1016"/>
    </row>
    <row r="100" spans="1:8" x14ac:dyDescent="0.35">
      <c r="A100" s="1016"/>
      <c r="B100" s="1016"/>
      <c r="C100" s="1016"/>
      <c r="D100" s="1016"/>
      <c r="E100" s="1016"/>
      <c r="F100" s="1016"/>
      <c r="G100" s="1016"/>
      <c r="H100" s="1016"/>
    </row>
    <row r="101" spans="1:8" ht="12.75" customHeight="1" x14ac:dyDescent="0.35">
      <c r="A101" s="1016"/>
      <c r="B101" s="1016"/>
      <c r="C101" s="1016"/>
      <c r="D101" s="1016"/>
      <c r="E101" s="1016"/>
      <c r="F101" s="1016"/>
      <c r="G101" s="1016"/>
      <c r="H101" s="1016"/>
    </row>
    <row r="102" spans="1:8" x14ac:dyDescent="0.35">
      <c r="A102" s="1016"/>
      <c r="B102" s="1016"/>
      <c r="C102" s="1016"/>
      <c r="D102" s="1016"/>
      <c r="E102" s="1016"/>
      <c r="F102" s="1016"/>
      <c r="G102" s="1016"/>
      <c r="H102" s="1016"/>
    </row>
    <row r="103" spans="1:8" ht="31.5" customHeight="1" x14ac:dyDescent="0.35">
      <c r="A103" s="1016"/>
      <c r="B103" s="1016"/>
      <c r="C103" s="1016"/>
      <c r="D103" s="1016"/>
      <c r="E103" s="1016"/>
      <c r="F103" s="1016"/>
      <c r="G103" s="1016"/>
      <c r="H103" s="1016"/>
    </row>
    <row r="104" spans="1:8" x14ac:dyDescent="0.35">
      <c r="A104" s="1016"/>
      <c r="B104" s="1016"/>
      <c r="C104" s="1016"/>
      <c r="D104" s="1016"/>
      <c r="E104" s="1016"/>
      <c r="F104" s="1016"/>
      <c r="G104" s="1016"/>
      <c r="H104" s="1016"/>
    </row>
    <row r="105" spans="1:8" ht="12.75" customHeight="1" x14ac:dyDescent="0.35">
      <c r="A105" s="410"/>
      <c r="B105" s="410"/>
      <c r="C105" s="410"/>
      <c r="D105" s="410"/>
      <c r="E105" s="410"/>
      <c r="F105" s="410"/>
      <c r="G105" s="410"/>
      <c r="H105" s="410"/>
    </row>
    <row r="106" spans="1:8" ht="12.75" customHeight="1" x14ac:dyDescent="0.35">
      <c r="A106" s="1016" t="s">
        <v>1194</v>
      </c>
      <c r="B106" s="1016"/>
      <c r="C106" s="1016"/>
      <c r="D106" s="1016"/>
      <c r="E106" s="1016"/>
      <c r="F106" s="1016"/>
      <c r="G106" s="1016"/>
      <c r="H106" s="1016"/>
    </row>
    <row r="107" spans="1:8" ht="12.75" customHeight="1" x14ac:dyDescent="0.35">
      <c r="A107" s="1016"/>
      <c r="B107" s="1016"/>
      <c r="C107" s="1016"/>
      <c r="D107" s="1016"/>
      <c r="E107" s="1016"/>
      <c r="F107" s="1016"/>
      <c r="G107" s="1016"/>
      <c r="H107" s="1016"/>
    </row>
    <row r="108" spans="1:8" ht="86.5" customHeight="1" x14ac:dyDescent="0.35">
      <c r="A108" s="1016"/>
      <c r="B108" s="1016"/>
      <c r="C108" s="1016"/>
      <c r="D108" s="1016"/>
      <c r="E108" s="1016"/>
      <c r="F108" s="1016"/>
      <c r="G108" s="1016"/>
      <c r="H108" s="1016"/>
    </row>
    <row r="109" spans="1:8" ht="12.75" customHeight="1" x14ac:dyDescent="0.35">
      <c r="A109" s="410"/>
      <c r="B109" s="410"/>
      <c r="C109" s="410"/>
      <c r="D109" s="410"/>
      <c r="E109" s="410"/>
      <c r="F109" s="410"/>
      <c r="G109" s="410"/>
      <c r="H109" s="410"/>
    </row>
    <row r="110" spans="1:8" ht="37" customHeight="1" x14ac:dyDescent="0.35">
      <c r="A110" s="1016" t="s">
        <v>1192</v>
      </c>
      <c r="B110" s="1016"/>
      <c r="C110" s="1016"/>
      <c r="D110" s="1016"/>
      <c r="E110" s="1016"/>
      <c r="F110" s="1016"/>
      <c r="G110" s="1016"/>
      <c r="H110" s="1016"/>
    </row>
    <row r="111" spans="1:8" ht="12.75" customHeight="1" x14ac:dyDescent="0.35">
      <c r="A111" s="410"/>
      <c r="B111" s="410"/>
      <c r="C111" s="410"/>
      <c r="D111" s="410"/>
      <c r="E111" s="410"/>
      <c r="F111" s="410"/>
      <c r="G111" s="410"/>
      <c r="H111" s="410"/>
    </row>
    <row r="112" spans="1:8" x14ac:dyDescent="0.35">
      <c r="A112" s="1016" t="s">
        <v>1164</v>
      </c>
      <c r="B112" s="1016"/>
      <c r="C112" s="1016"/>
      <c r="D112" s="1016"/>
      <c r="E112" s="1016"/>
      <c r="F112" s="1016"/>
      <c r="G112" s="1016"/>
      <c r="H112" s="1016"/>
    </row>
    <row r="113" spans="1:8" ht="12.75" customHeight="1" x14ac:dyDescent="0.35">
      <c r="A113" s="1016"/>
      <c r="B113" s="1016"/>
      <c r="C113" s="1016"/>
      <c r="D113" s="1016"/>
      <c r="E113" s="1016"/>
      <c r="F113" s="1016"/>
      <c r="G113" s="1016"/>
      <c r="H113" s="1016"/>
    </row>
    <row r="114" spans="1:8" ht="12.75" customHeight="1" x14ac:dyDescent="0.35">
      <c r="A114" s="1016"/>
      <c r="B114" s="1016"/>
      <c r="C114" s="1016"/>
      <c r="D114" s="1016"/>
      <c r="E114" s="1016"/>
      <c r="F114" s="1016"/>
      <c r="G114" s="1016"/>
      <c r="H114" s="1016"/>
    </row>
    <row r="115" spans="1:8" ht="12.75" customHeight="1" x14ac:dyDescent="0.35">
      <c r="A115" s="410"/>
      <c r="B115" s="410"/>
      <c r="C115" s="410"/>
      <c r="D115" s="410"/>
      <c r="E115" s="410"/>
      <c r="F115" s="410"/>
      <c r="G115" s="410"/>
      <c r="H115" s="410"/>
    </row>
    <row r="116" spans="1:8" x14ac:dyDescent="0.35">
      <c r="A116" s="1016" t="s">
        <v>1165</v>
      </c>
      <c r="B116" s="1016"/>
      <c r="C116" s="1016"/>
      <c r="D116" s="1016"/>
      <c r="E116" s="1016"/>
      <c r="F116" s="1016"/>
      <c r="G116" s="1016"/>
      <c r="H116" s="1016"/>
    </row>
    <row r="117" spans="1:8" x14ac:dyDescent="0.35">
      <c r="A117" s="1016"/>
      <c r="B117" s="1016"/>
      <c r="C117" s="1016"/>
      <c r="D117" s="1016"/>
      <c r="E117" s="1016"/>
      <c r="F117" s="1016"/>
      <c r="G117" s="1016"/>
      <c r="H117" s="1016"/>
    </row>
    <row r="118" spans="1:8" x14ac:dyDescent="0.35">
      <c r="A118" s="409"/>
      <c r="B118" s="409"/>
      <c r="C118" s="409"/>
      <c r="D118" s="409"/>
      <c r="E118" s="409"/>
      <c r="F118" s="409"/>
      <c r="G118" s="409"/>
      <c r="H118" s="409"/>
    </row>
    <row r="130" spans="8:8" x14ac:dyDescent="0.35">
      <c r="H130" s="392"/>
    </row>
    <row r="131" spans="8:8" x14ac:dyDescent="0.35">
      <c r="H131" s="392"/>
    </row>
    <row r="132" spans="8:8" x14ac:dyDescent="0.35">
      <c r="H132" s="392"/>
    </row>
    <row r="133" spans="8:8" x14ac:dyDescent="0.35">
      <c r="H133" s="392"/>
    </row>
    <row r="134" spans="8:8" x14ac:dyDescent="0.35">
      <c r="H134" s="392"/>
    </row>
    <row r="135" spans="8:8" x14ac:dyDescent="0.35">
      <c r="H135" s="392"/>
    </row>
    <row r="136" spans="8:8" x14ac:dyDescent="0.35">
      <c r="H136" s="392"/>
    </row>
    <row r="137" spans="8:8" x14ac:dyDescent="0.35">
      <c r="H137" s="392"/>
    </row>
    <row r="138" spans="8:8" x14ac:dyDescent="0.35">
      <c r="H138" s="392"/>
    </row>
    <row r="139" spans="8:8" x14ac:dyDescent="0.35">
      <c r="H139" s="392"/>
    </row>
    <row r="140" spans="8:8" x14ac:dyDescent="0.35">
      <c r="H140" s="392"/>
    </row>
    <row r="141" spans="8:8" x14ac:dyDescent="0.35">
      <c r="H141" s="392"/>
    </row>
    <row r="142" spans="8:8" x14ac:dyDescent="0.35">
      <c r="H142" s="392"/>
    </row>
    <row r="143" spans="8:8" x14ac:dyDescent="0.35">
      <c r="H143" s="392"/>
    </row>
    <row r="144" spans="8:8" x14ac:dyDescent="0.35">
      <c r="H144" s="392"/>
    </row>
    <row r="145" spans="8:8" x14ac:dyDescent="0.35">
      <c r="H145" s="392"/>
    </row>
    <row r="146" spans="8:8" x14ac:dyDescent="0.35">
      <c r="H146" s="392"/>
    </row>
    <row r="147" spans="8:8" x14ac:dyDescent="0.35">
      <c r="H147" s="392"/>
    </row>
    <row r="148" spans="8:8" x14ac:dyDescent="0.35">
      <c r="H148" s="392"/>
    </row>
    <row r="149" spans="8:8" x14ac:dyDescent="0.35">
      <c r="H149" s="392"/>
    </row>
    <row r="150" spans="8:8" x14ac:dyDescent="0.35">
      <c r="H150" s="392"/>
    </row>
    <row r="151" spans="8:8" x14ac:dyDescent="0.35">
      <c r="H151" s="392"/>
    </row>
    <row r="152" spans="8:8" x14ac:dyDescent="0.35">
      <c r="H152" s="392"/>
    </row>
    <row r="153" spans="8:8" x14ac:dyDescent="0.35">
      <c r="H153" s="392"/>
    </row>
    <row r="154" spans="8:8" x14ac:dyDescent="0.35">
      <c r="H154" s="392"/>
    </row>
    <row r="155" spans="8:8" x14ac:dyDescent="0.35">
      <c r="H155" s="392"/>
    </row>
    <row r="156" spans="8:8" x14ac:dyDescent="0.35">
      <c r="H156" s="392"/>
    </row>
    <row r="157" spans="8:8" x14ac:dyDescent="0.35">
      <c r="H157" s="392"/>
    </row>
    <row r="158" spans="8:8" x14ac:dyDescent="0.35">
      <c r="H158" s="392"/>
    </row>
    <row r="159" spans="8:8" x14ac:dyDescent="0.35">
      <c r="H159" s="392"/>
    </row>
    <row r="160" spans="8:8" x14ac:dyDescent="0.35">
      <c r="H160" s="392"/>
    </row>
    <row r="161" spans="8:8" x14ac:dyDescent="0.35">
      <c r="H161" s="392"/>
    </row>
    <row r="162" spans="8:8" x14ac:dyDescent="0.35">
      <c r="H162" s="392"/>
    </row>
    <row r="163" spans="8:8" x14ac:dyDescent="0.35">
      <c r="H163" s="392"/>
    </row>
    <row r="164" spans="8:8" x14ac:dyDescent="0.35">
      <c r="H164" s="392"/>
    </row>
    <row r="165" spans="8:8" x14ac:dyDescent="0.35">
      <c r="H165" s="392"/>
    </row>
    <row r="166" spans="8:8" x14ac:dyDescent="0.35">
      <c r="H166" s="392"/>
    </row>
    <row r="167" spans="8:8" x14ac:dyDescent="0.35">
      <c r="H167" s="392"/>
    </row>
    <row r="168" spans="8:8" x14ac:dyDescent="0.35">
      <c r="H168" s="392"/>
    </row>
    <row r="169" spans="8:8" x14ac:dyDescent="0.35">
      <c r="H169" s="392"/>
    </row>
    <row r="170" spans="8:8" x14ac:dyDescent="0.35">
      <c r="H170" s="392"/>
    </row>
    <row r="171" spans="8:8" x14ac:dyDescent="0.35">
      <c r="H171" s="392"/>
    </row>
    <row r="172" spans="8:8" x14ac:dyDescent="0.35">
      <c r="H172" s="392"/>
    </row>
    <row r="173" spans="8:8" x14ac:dyDescent="0.35">
      <c r="H173" s="392"/>
    </row>
    <row r="174" spans="8:8" x14ac:dyDescent="0.35">
      <c r="H174" s="392"/>
    </row>
    <row r="175" spans="8:8" x14ac:dyDescent="0.35">
      <c r="H175" s="392"/>
    </row>
    <row r="176" spans="8:8" x14ac:dyDescent="0.35">
      <c r="H176" s="392"/>
    </row>
    <row r="177" spans="8:8" x14ac:dyDescent="0.35">
      <c r="H177" s="392"/>
    </row>
    <row r="178" spans="8:8" x14ac:dyDescent="0.35">
      <c r="H178" s="392"/>
    </row>
  </sheetData>
  <sheetProtection algorithmName="SHA-512" hashValue="/HoVpcKu1o4PsO2sSeiZD6vyTckhe0rwMT4muGjFZKRT5afMBvgZxYie7vJBJHdkmMKF46gZlo8rk/ImTRWzQQ==" saltValue="qTQ9ZTP0rkwY4ShkwwZB5Q==" spinCount="100000" sheet="1" objects="1" scenarios="1"/>
  <mergeCells count="15">
    <mergeCell ref="A72:H78"/>
    <mergeCell ref="E32:F32"/>
    <mergeCell ref="E47:F47"/>
    <mergeCell ref="A54:H56"/>
    <mergeCell ref="A58:H65"/>
    <mergeCell ref="A67:H70"/>
    <mergeCell ref="A112:H114"/>
    <mergeCell ref="A116:H117"/>
    <mergeCell ref="A106:H108"/>
    <mergeCell ref="A110:H110"/>
    <mergeCell ref="A80:H82"/>
    <mergeCell ref="A84:H87"/>
    <mergeCell ref="A89:H90"/>
    <mergeCell ref="A92:H93"/>
    <mergeCell ref="A95:H104"/>
  </mergeCells>
  <phoneticPr fontId="51" type="noConversion"/>
  <pageMargins left="0.70866141732283472" right="0.70866141732283472" top="0.74803149606299213" bottom="0.74803149606299213" header="0.31496062992125984" footer="0.31496062992125984"/>
  <pageSetup paperSize="9" scale="51" fitToHeight="2" orientation="landscape" r:id="rId1"/>
  <headerFooter>
    <oddHeader xml:space="preserve">&amp;CLincolnshire County Council </oddHeader>
    <oddFooter>&amp;C2024/25 Special School Budget Share Calculation 
Budget Shares</oddFooter>
  </headerFooter>
  <ignoredErrors>
    <ignoredError sqref="D40:D41 D48:D49 D44:D45" evalError="1"/>
  </ignoredErrors>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E0AB-8347-4BDF-91BD-09EB763EE4D1}">
  <sheetPr>
    <tabColor rgb="FFFFC000"/>
  </sheetPr>
  <dimension ref="B2:J25"/>
  <sheetViews>
    <sheetView workbookViewId="0">
      <selection activeCell="H13" sqref="H13"/>
    </sheetView>
  </sheetViews>
  <sheetFormatPr defaultColWidth="9.1796875" defaultRowHeight="12.5" x14ac:dyDescent="0.25"/>
  <cols>
    <col min="1" max="1" width="9.1796875" style="49"/>
    <col min="2" max="2" width="19.26953125" style="49" customWidth="1"/>
    <col min="3" max="3" width="20.7265625" style="48" customWidth="1"/>
    <col min="4" max="4" width="9.1796875" style="49"/>
    <col min="5" max="7" width="9.1796875" style="48"/>
    <col min="8" max="9" width="9.1796875" style="49"/>
    <col min="10" max="10" width="12.7265625" style="49" customWidth="1"/>
    <col min="11" max="16384" width="9.1796875" style="49"/>
  </cols>
  <sheetData>
    <row r="2" spans="2:10" ht="13" x14ac:dyDescent="0.3">
      <c r="B2" s="4" t="s">
        <v>7</v>
      </c>
    </row>
    <row r="3" spans="2:10" x14ac:dyDescent="0.25">
      <c r="B3" s="1"/>
    </row>
    <row r="4" spans="2:10" ht="39" x14ac:dyDescent="0.3">
      <c r="B4" s="860" t="s">
        <v>954</v>
      </c>
      <c r="C4" s="860" t="s">
        <v>8</v>
      </c>
      <c r="D4" s="861"/>
      <c r="E4" s="862" t="s">
        <v>951</v>
      </c>
      <c r="F4" s="862" t="s">
        <v>952</v>
      </c>
      <c r="G4" s="862" t="s">
        <v>953</v>
      </c>
      <c r="H4" s="862" t="s">
        <v>955</v>
      </c>
      <c r="J4" s="864" t="s">
        <v>956</v>
      </c>
    </row>
    <row r="5" spans="2:10" x14ac:dyDescent="0.25">
      <c r="B5" s="356"/>
      <c r="C5" s="356"/>
      <c r="D5" s="356"/>
      <c r="E5" s="356"/>
      <c r="F5" s="356"/>
      <c r="G5" s="356"/>
      <c r="H5" s="44"/>
      <c r="J5" s="44"/>
    </row>
    <row r="6" spans="2:10" x14ac:dyDescent="0.25">
      <c r="B6" s="356" t="s">
        <v>229</v>
      </c>
      <c r="C6" s="356" t="s">
        <v>12</v>
      </c>
      <c r="D6" s="356"/>
      <c r="E6" s="857">
        <f>('2425 TA Pay Scales'!L23)/12</f>
        <v>2243.6502192982457</v>
      </c>
      <c r="F6" s="857">
        <f>('2425 Teacher''s Pay Scales'!K20)/12</f>
        <v>4291.75</v>
      </c>
      <c r="G6" s="857">
        <f>'2425 GLEA Pay Scale'!$K$19/10/37*6.25*195/224</f>
        <v>435.07669220559848</v>
      </c>
      <c r="H6" s="858">
        <f>SUM(E6:G6)*0.966</f>
        <v>6733.4806965127136</v>
      </c>
      <c r="J6" s="865">
        <f>(H6-'2324 Band Values'!K5)/'2324 Band Values'!K5</f>
        <v>1.5647963269263949E-2</v>
      </c>
    </row>
    <row r="7" spans="2:10" x14ac:dyDescent="0.25">
      <c r="B7" s="356" t="s">
        <v>230</v>
      </c>
      <c r="C7" s="356" t="s">
        <v>11</v>
      </c>
      <c r="D7" s="356"/>
      <c r="E7" s="857">
        <f>('2425 TA Pay Scales'!L23)/10</f>
        <v>2692.3802631578947</v>
      </c>
      <c r="F7" s="857">
        <f>('2425 Teacher''s Pay Scales'!K20)/10</f>
        <v>5150.1000000000004</v>
      </c>
      <c r="G7" s="857">
        <f>'2425 GLEA Pay Scale'!$K$19/10/37*6.25*195/224</f>
        <v>435.07669220559848</v>
      </c>
      <c r="H7" s="858">
        <f t="shared" ref="H7:H14" si="0">SUM(E7:G7)*0.966</f>
        <v>7996.1200188811354</v>
      </c>
      <c r="J7" s="865">
        <f>(H7-'2324 Band Values'!K6)/'2324 Band Values'!K6</f>
        <v>1.2954081541993625E-2</v>
      </c>
    </row>
    <row r="8" spans="2:10" x14ac:dyDescent="0.25">
      <c r="B8" s="356" t="s">
        <v>231</v>
      </c>
      <c r="C8" s="356" t="s">
        <v>237</v>
      </c>
      <c r="D8" s="356"/>
      <c r="E8" s="857">
        <f>('2425 TA Pay Scales'!L23)/8*2.89</f>
        <v>9726.2237006578944</v>
      </c>
      <c r="F8" s="857">
        <f>('2425 Teacher''s Pay Scales'!K20)/8</f>
        <v>6437.625</v>
      </c>
      <c r="G8" s="857">
        <f>'2425 GLEA Pay Scale'!$K$19/10/37*6.25*195/224</f>
        <v>435.07669220559848</v>
      </c>
      <c r="H8" s="858">
        <f t="shared" si="0"/>
        <v>16034.561929506133</v>
      </c>
      <c r="J8" s="865">
        <f>(H8-'2324 Band Values'!K7)/'2324 Band Values'!K7</f>
        <v>3.0085612682438333E-2</v>
      </c>
    </row>
    <row r="9" spans="2:10" x14ac:dyDescent="0.25">
      <c r="B9" s="356" t="s">
        <v>232</v>
      </c>
      <c r="C9" s="356" t="s">
        <v>239</v>
      </c>
      <c r="D9" s="356"/>
      <c r="E9" s="857">
        <f>('2425 TA Pay Scales'!L23)/8*3</f>
        <v>10096.425986842105</v>
      </c>
      <c r="F9" s="857">
        <f>('2425 Teacher''s Pay Scales'!K20)/8</f>
        <v>6437.625</v>
      </c>
      <c r="G9" s="857">
        <f>'2425 GLEA Pay Scale'!$K$19/10/37*6.25*195/224</f>
        <v>435.07669220559848</v>
      </c>
      <c r="H9" s="858">
        <f t="shared" si="0"/>
        <v>16392.177337960082</v>
      </c>
      <c r="J9" s="865">
        <f>(H9-'2324 Band Values'!K8)/'2324 Band Values'!K8</f>
        <v>3.1514152731411206E-2</v>
      </c>
    </row>
    <row r="10" spans="2:10" x14ac:dyDescent="0.25">
      <c r="B10" s="356" t="s">
        <v>233</v>
      </c>
      <c r="C10" s="356" t="s">
        <v>239</v>
      </c>
      <c r="D10" s="356"/>
      <c r="E10" s="857">
        <f>('2425 TA Pay Scales'!L23)/8*3</f>
        <v>10096.425986842105</v>
      </c>
      <c r="F10" s="857">
        <f>('2425 Teacher''s Pay Scales'!K20)/8</f>
        <v>6437.625</v>
      </c>
      <c r="G10" s="857">
        <f>'2425 GLEA Pay Scale'!$K$19/10/37*6.25*195/224</f>
        <v>435.07669220559848</v>
      </c>
      <c r="H10" s="858">
        <f t="shared" si="0"/>
        <v>16392.177337960082</v>
      </c>
      <c r="J10" s="865">
        <f>(H10-'2324 Band Values'!K9)/'2324 Band Values'!K9</f>
        <v>3.1514152731411206E-2</v>
      </c>
    </row>
    <row r="11" spans="2:10" x14ac:dyDescent="0.25">
      <c r="B11" s="356" t="s">
        <v>234</v>
      </c>
      <c r="C11" s="356" t="s">
        <v>239</v>
      </c>
      <c r="D11" s="356"/>
      <c r="E11" s="857">
        <f>('2425 TA Pay Scales'!L23)/6*2</f>
        <v>8974.6008771929828</v>
      </c>
      <c r="F11" s="857">
        <f>('2425 Teacher''s Pay Scales'!K20)/6</f>
        <v>8583.5</v>
      </c>
      <c r="G11" s="857">
        <f>'2425 GLEA Pay Scale'!$K$19/10/37*6.25*195/224</f>
        <v>435.07669220559848</v>
      </c>
      <c r="H11" s="858">
        <f t="shared" si="0"/>
        <v>17381.40953203903</v>
      </c>
      <c r="J11" s="865">
        <f>(H11-'2324 Band Values'!K10)/'2324 Band Values'!K10</f>
        <v>2.1359981527164104E-2</v>
      </c>
    </row>
    <row r="12" spans="2:10" x14ac:dyDescent="0.25">
      <c r="B12" s="356" t="s">
        <v>235</v>
      </c>
      <c r="C12" s="356" t="s">
        <v>215</v>
      </c>
      <c r="D12" s="356"/>
      <c r="E12" s="857">
        <f>'2425 TA Pay Scales'!L23</f>
        <v>26923.802631578947</v>
      </c>
      <c r="F12" s="857">
        <v>0</v>
      </c>
      <c r="G12" s="857">
        <v>0</v>
      </c>
      <c r="H12" s="858">
        <f t="shared" si="0"/>
        <v>26008.393342105261</v>
      </c>
      <c r="J12" s="865">
        <f>(H12-'2324 Band Values'!K11)/'2324 Band Values'!K11</f>
        <v>6.5685996056376428E-2</v>
      </c>
    </row>
    <row r="13" spans="2:10" x14ac:dyDescent="0.25">
      <c r="B13" s="356" t="s">
        <v>607</v>
      </c>
      <c r="C13" s="356"/>
      <c r="D13" s="859"/>
      <c r="E13" s="857">
        <f>('2425 TA Pay Scales'!L23)/8</f>
        <v>3365.4753289473683</v>
      </c>
      <c r="F13" s="857">
        <f>('2425 Teacher''s Pay Scales'!K20)/8</f>
        <v>6437.625</v>
      </c>
      <c r="G13" s="857">
        <f>'2425 GLEA Pay Scale'!$K$19/10/37*6.25*195/224</f>
        <v>435.07669220559848</v>
      </c>
      <c r="H13" s="858">
        <f t="shared" si="0"/>
        <v>9890.0790024337657</v>
      </c>
      <c r="J13" s="865">
        <f>(H13-'2324 Band Values'!K12)/'2324 Band Values'!K12</f>
        <v>1.02176700801394E-2</v>
      </c>
    </row>
    <row r="14" spans="2:10" x14ac:dyDescent="0.25">
      <c r="B14" s="356" t="s">
        <v>606</v>
      </c>
      <c r="C14" s="356" t="s">
        <v>586</v>
      </c>
      <c r="D14" s="356"/>
      <c r="E14" s="857">
        <f>('2425 TA Pay Scales'!L23)/8*2</f>
        <v>6730.9506578947367</v>
      </c>
      <c r="F14" s="857">
        <f>('2425 Teacher''s Pay Scales'!K36)/8</f>
        <v>6027.875</v>
      </c>
      <c r="G14" s="857">
        <f>'2425 GLEA Pay Scale'!$K$19/10/37*6.25*195/224</f>
        <v>435.07669220559848</v>
      </c>
      <c r="H14" s="858">
        <f t="shared" si="0"/>
        <v>12745.309670196924</v>
      </c>
      <c r="J14" s="865">
        <f>(H14-'2324 Band Values'!K13)/'2324 Band Values'!K13</f>
        <v>2.5296872879327702E-2</v>
      </c>
    </row>
    <row r="16" spans="2:10" x14ac:dyDescent="0.25">
      <c r="J16" s="568">
        <f>AVERAGE(J6:J12)</f>
        <v>2.9823134362865551E-2</v>
      </c>
    </row>
    <row r="23" spans="5:7" x14ac:dyDescent="0.25">
      <c r="E23" s="153"/>
      <c r="F23" s="154"/>
      <c r="G23" s="154"/>
    </row>
    <row r="25" spans="5:7" x14ac:dyDescent="0.25">
      <c r="F25" s="154"/>
      <c r="G25" s="154"/>
    </row>
  </sheetData>
  <phoneticPr fontId="109" type="noConversion"/>
  <pageMargins left="0.7" right="0.7" top="0.75" bottom="0.75" header="0.3" footer="0.3"/>
  <pageSetup orientation="portrait" horizontalDpi="300" verticalDpi="300"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B2D2-2B18-4BC3-88EE-8A57A7C35E0D}">
  <sheetPr>
    <tabColor rgb="FFFFFF00"/>
  </sheetPr>
  <dimension ref="A1:AB179"/>
  <sheetViews>
    <sheetView topLeftCell="A142" workbookViewId="0">
      <selection activeCell="E153" sqref="E153"/>
    </sheetView>
  </sheetViews>
  <sheetFormatPr defaultColWidth="8.26953125" defaultRowHeight="12.5" x14ac:dyDescent="0.25"/>
  <cols>
    <col min="1" max="1" width="11.453125" style="101" customWidth="1"/>
    <col min="2" max="2" width="9.54296875" style="101" customWidth="1"/>
    <col min="3" max="3" width="14.81640625" style="101" customWidth="1"/>
    <col min="4" max="4" width="8.81640625" style="101" customWidth="1"/>
    <col min="5" max="5" width="13.7265625" style="101" customWidth="1"/>
    <col min="6" max="6" width="4.1796875" style="101" customWidth="1"/>
    <col min="7" max="7" width="9.81640625" style="101" customWidth="1"/>
    <col min="8" max="8" width="3.81640625" style="101" customWidth="1"/>
    <col min="9" max="9" width="15.81640625" style="101" bestFit="1" customWidth="1"/>
    <col min="10" max="10" width="2.7265625" style="101" customWidth="1"/>
    <col min="11" max="11" width="10.453125" style="101" customWidth="1"/>
    <col min="12" max="12" width="2.26953125" style="101" customWidth="1"/>
    <col min="13" max="13" width="10.453125" style="101" customWidth="1"/>
    <col min="14" max="14" width="0.81640625" style="101" customWidth="1"/>
    <col min="15" max="15" width="1.453125" style="101" customWidth="1"/>
    <col min="16" max="16" width="11.1796875" style="101" customWidth="1"/>
    <col min="17" max="17" width="2.81640625" style="101" customWidth="1"/>
    <col min="18" max="18" width="9.81640625" style="101" bestFit="1" customWidth="1"/>
    <col min="19" max="19" width="2.26953125" style="101" customWidth="1"/>
    <col min="20" max="20" width="9.453125" style="101" customWidth="1"/>
    <col min="21" max="21" width="12.1796875" style="101" bestFit="1" customWidth="1"/>
    <col min="22" max="23" width="9.453125" style="101" customWidth="1"/>
    <col min="24" max="24" width="9.7265625" style="101" bestFit="1" customWidth="1"/>
    <col min="25" max="26" width="8.26953125" style="101"/>
    <col min="27" max="27" width="8.54296875" style="101" bestFit="1" customWidth="1"/>
    <col min="28" max="16384" width="8.26953125" style="101"/>
  </cols>
  <sheetData>
    <row r="1" spans="1:28" s="183" customFormat="1" ht="39.65" customHeight="1" thickBot="1" x14ac:dyDescent="0.35">
      <c r="A1" s="59" t="s">
        <v>609</v>
      </c>
      <c r="B1" s="178" t="s">
        <v>610</v>
      </c>
      <c r="C1" s="179"/>
      <c r="D1" s="179"/>
      <c r="E1" s="179"/>
      <c r="F1" s="180"/>
      <c r="G1" s="179"/>
      <c r="H1" s="179"/>
      <c r="I1" s="179"/>
      <c r="J1" s="179"/>
      <c r="K1" s="179"/>
      <c r="L1" s="179"/>
      <c r="M1" s="179"/>
      <c r="N1" s="179"/>
      <c r="O1" s="179"/>
      <c r="P1" s="179"/>
      <c r="Q1" s="179"/>
      <c r="R1" s="181" t="s">
        <v>273</v>
      </c>
      <c r="S1" s="182"/>
    </row>
    <row r="2" spans="1:28" s="183" customFormat="1" ht="12.65" customHeight="1" x14ac:dyDescent="0.3">
      <c r="A2" s="59"/>
      <c r="B2" s="184"/>
      <c r="C2" s="184"/>
      <c r="D2" s="184"/>
      <c r="E2" s="184"/>
      <c r="F2" s="185"/>
      <c r="G2" s="184"/>
      <c r="H2" s="184"/>
      <c r="I2" s="184"/>
      <c r="J2" s="184"/>
      <c r="K2" s="184"/>
      <c r="L2" s="184"/>
      <c r="M2" s="184"/>
      <c r="N2" s="184"/>
      <c r="O2" s="184"/>
      <c r="P2" s="184"/>
      <c r="Q2" s="184"/>
      <c r="R2" s="184"/>
      <c r="S2" s="184"/>
      <c r="U2" s="186"/>
    </row>
    <row r="3" spans="1:28" s="183" customFormat="1" ht="64.900000000000006" customHeight="1" x14ac:dyDescent="0.3">
      <c r="A3" s="59" t="s">
        <v>611</v>
      </c>
      <c r="B3" s="1081" t="s">
        <v>612</v>
      </c>
      <c r="C3" s="1082"/>
      <c r="D3" s="1082"/>
      <c r="E3" s="1082"/>
      <c r="F3" s="1082"/>
      <c r="G3" s="1082"/>
      <c r="H3" s="1082"/>
      <c r="I3" s="1082"/>
      <c r="J3" s="1082"/>
      <c r="K3" s="1082"/>
      <c r="L3" s="1082"/>
      <c r="M3" s="1082"/>
      <c r="N3" s="1082"/>
      <c r="O3" s="1082"/>
      <c r="P3" s="1082"/>
      <c r="Q3" s="1082"/>
      <c r="R3" s="1082"/>
      <c r="S3" s="1082"/>
      <c r="U3" s="186"/>
    </row>
    <row r="4" spans="1:28" s="183" customFormat="1" ht="18.649999999999999" customHeight="1" thickBot="1" x14ac:dyDescent="0.35">
      <c r="A4" s="59"/>
      <c r="B4" s="1082"/>
      <c r="C4" s="1082"/>
      <c r="D4" s="1082"/>
      <c r="E4" s="1082"/>
      <c r="F4" s="1082"/>
      <c r="G4" s="1082"/>
      <c r="H4" s="1082"/>
      <c r="I4" s="1082"/>
      <c r="J4" s="1082"/>
      <c r="K4" s="1082"/>
      <c r="L4" s="1082"/>
      <c r="M4" s="1082"/>
      <c r="N4" s="1082"/>
      <c r="O4" s="1082"/>
      <c r="P4" s="1082"/>
      <c r="Q4" s="1082"/>
      <c r="R4" s="1082"/>
      <c r="S4" s="1082"/>
      <c r="U4" s="186"/>
    </row>
    <row r="5" spans="1:28" s="190" customFormat="1" ht="16" x14ac:dyDescent="0.4">
      <c r="A5" s="59" t="s">
        <v>613</v>
      </c>
      <c r="B5" s="1083" t="s">
        <v>614</v>
      </c>
      <c r="C5" s="1083"/>
      <c r="D5" s="1083"/>
      <c r="E5" s="1083"/>
      <c r="F5" s="1083"/>
      <c r="G5" s="1083"/>
      <c r="H5" s="1083"/>
      <c r="I5" s="1083"/>
      <c r="J5" s="1083"/>
      <c r="K5" s="1083"/>
      <c r="L5" s="1083"/>
      <c r="M5" s="1083"/>
      <c r="N5" s="1083"/>
      <c r="O5" s="1083"/>
      <c r="P5" s="1084"/>
      <c r="Q5" s="1084"/>
      <c r="R5" s="1084"/>
      <c r="S5" s="1084"/>
      <c r="T5" s="59" t="s">
        <v>615</v>
      </c>
      <c r="U5" s="187" t="s">
        <v>616</v>
      </c>
      <c r="V5" s="188">
        <v>1</v>
      </c>
      <c r="W5" s="189">
        <v>2</v>
      </c>
      <c r="Y5" s="191"/>
      <c r="Z5" s="192" t="s">
        <v>616</v>
      </c>
      <c r="AA5" s="193">
        <v>1</v>
      </c>
      <c r="AB5" s="194">
        <v>2</v>
      </c>
    </row>
    <row r="6" spans="1:28" ht="15.5" x14ac:dyDescent="0.45">
      <c r="A6" s="59" t="s">
        <v>617</v>
      </c>
      <c r="B6" s="1085" t="s">
        <v>618</v>
      </c>
      <c r="C6" s="1084"/>
      <c r="D6" s="1084"/>
      <c r="E6" s="1084"/>
      <c r="F6" s="1084"/>
      <c r="G6" s="1084"/>
      <c r="H6" s="1084"/>
      <c r="I6" s="1084"/>
      <c r="J6" s="1084"/>
      <c r="K6" s="1084"/>
      <c r="L6" s="1084"/>
      <c r="M6" s="1084"/>
      <c r="N6" s="1084"/>
      <c r="O6" s="1084"/>
      <c r="P6" s="1084"/>
      <c r="Q6" s="1084"/>
      <c r="R6" s="1084"/>
      <c r="S6" s="1084"/>
      <c r="U6" s="195">
        <v>0</v>
      </c>
      <c r="V6" s="196">
        <v>0</v>
      </c>
      <c r="W6" s="197">
        <v>0</v>
      </c>
      <c r="Y6" s="191"/>
      <c r="Z6" s="198">
        <v>0</v>
      </c>
      <c r="AA6" s="199">
        <v>0</v>
      </c>
      <c r="AB6" s="200">
        <v>0</v>
      </c>
    </row>
    <row r="7" spans="1:28" ht="16" thickBot="1" x14ac:dyDescent="0.5">
      <c r="A7" s="59"/>
      <c r="B7" s="201"/>
      <c r="C7" s="59"/>
      <c r="D7" s="59"/>
      <c r="E7" s="59"/>
      <c r="F7" s="59"/>
      <c r="G7" s="59"/>
      <c r="H7" s="59"/>
      <c r="I7" s="59"/>
      <c r="J7" s="59"/>
      <c r="K7" s="59"/>
      <c r="L7" s="59"/>
      <c r="M7" s="59"/>
      <c r="N7" s="59"/>
      <c r="O7" s="59"/>
      <c r="P7" s="59"/>
      <c r="Q7" s="59"/>
      <c r="R7" s="59"/>
      <c r="S7" s="59"/>
      <c r="U7" s="195"/>
      <c r="V7" s="196"/>
      <c r="W7" s="197"/>
      <c r="Y7" s="191" t="s">
        <v>619</v>
      </c>
      <c r="Z7" s="198">
        <v>6240</v>
      </c>
      <c r="AA7" s="202">
        <v>0</v>
      </c>
      <c r="AB7" s="203">
        <v>0</v>
      </c>
    </row>
    <row r="8" spans="1:28" ht="15.5" x14ac:dyDescent="0.45">
      <c r="A8" s="59" t="s">
        <v>620</v>
      </c>
      <c r="B8" s="204"/>
      <c r="C8" s="205" t="s">
        <v>621</v>
      </c>
      <c r="D8" s="206"/>
      <c r="E8" s="205" t="s">
        <v>622</v>
      </c>
      <c r="F8" s="206"/>
      <c r="G8" s="206"/>
      <c r="H8" s="206"/>
      <c r="I8" s="206"/>
      <c r="J8" s="206"/>
      <c r="K8" s="206"/>
      <c r="L8" s="206"/>
      <c r="M8" s="205" t="s">
        <v>623</v>
      </c>
      <c r="N8" s="207"/>
      <c r="O8" s="207"/>
      <c r="P8" s="206"/>
      <c r="Q8" s="206"/>
      <c r="R8" s="206"/>
      <c r="S8" s="208"/>
      <c r="U8" s="195"/>
      <c r="V8" s="196"/>
      <c r="W8" s="197"/>
      <c r="Y8" s="647" t="s">
        <v>624</v>
      </c>
      <c r="Z8" s="198">
        <v>8788</v>
      </c>
      <c r="AA8" s="202">
        <v>0</v>
      </c>
      <c r="AB8" s="203">
        <v>0</v>
      </c>
    </row>
    <row r="9" spans="1:28" ht="15.5" x14ac:dyDescent="0.45">
      <c r="A9" s="59"/>
      <c r="B9" s="209"/>
      <c r="C9" s="210"/>
      <c r="D9" s="210"/>
      <c r="E9" s="211"/>
      <c r="F9" s="210"/>
      <c r="G9" s="210"/>
      <c r="H9" s="210"/>
      <c r="I9" s="210"/>
      <c r="J9" s="210"/>
      <c r="K9" s="210"/>
      <c r="L9" s="210"/>
      <c r="M9" s="210"/>
      <c r="N9" s="196"/>
      <c r="O9" s="210"/>
      <c r="P9" s="210"/>
      <c r="Q9" s="210"/>
      <c r="R9" s="210"/>
      <c r="S9" s="212"/>
      <c r="U9" s="195"/>
      <c r="V9" s="213"/>
      <c r="W9" s="214"/>
      <c r="Y9" s="215" t="s">
        <v>625</v>
      </c>
      <c r="Z9" s="198">
        <v>50000</v>
      </c>
      <c r="AA9" s="202">
        <v>0</v>
      </c>
      <c r="AB9" s="203">
        <v>0.13800000000000001</v>
      </c>
    </row>
    <row r="10" spans="1:28" ht="16" thickBot="1" x14ac:dyDescent="0.5">
      <c r="A10" s="59"/>
      <c r="B10" s="760" t="s">
        <v>626</v>
      </c>
      <c r="C10" s="761"/>
      <c r="D10" s="761"/>
      <c r="E10" s="761"/>
      <c r="F10" s="762"/>
      <c r="G10" s="761"/>
      <c r="H10" s="762"/>
      <c r="I10" s="761"/>
      <c r="J10" s="762"/>
      <c r="K10" s="761"/>
      <c r="L10" s="762"/>
      <c r="M10" s="762"/>
      <c r="N10" s="762"/>
      <c r="O10" s="762"/>
      <c r="P10" s="762"/>
      <c r="Q10" s="762"/>
      <c r="R10" s="762"/>
      <c r="S10" s="763"/>
      <c r="U10" s="195"/>
      <c r="V10" s="213"/>
      <c r="W10" s="214"/>
      <c r="Y10" s="191"/>
      <c r="Z10" s="198"/>
      <c r="AA10" s="202"/>
      <c r="AB10" s="203"/>
    </row>
    <row r="11" spans="1:28" ht="16" thickBot="1" x14ac:dyDescent="0.5">
      <c r="A11" s="59"/>
      <c r="B11" s="764"/>
      <c r="C11" s="765"/>
      <c r="D11" s="765"/>
      <c r="E11" s="765"/>
      <c r="F11" s="765"/>
      <c r="G11" s="765"/>
      <c r="H11" s="765"/>
      <c r="I11" s="765"/>
      <c r="J11" s="765"/>
      <c r="K11" s="765"/>
      <c r="L11" s="765"/>
      <c r="M11" s="765"/>
      <c r="N11" s="765"/>
      <c r="O11" s="765"/>
      <c r="P11" s="765"/>
      <c r="Q11" s="765"/>
      <c r="R11" s="765"/>
      <c r="S11" s="765"/>
      <c r="U11" s="195">
        <v>8788</v>
      </c>
      <c r="V11" s="213">
        <v>0</v>
      </c>
      <c r="W11" s="214">
        <v>0.13800000000000001</v>
      </c>
      <c r="Y11" s="191"/>
      <c r="Z11" s="766" t="s">
        <v>627</v>
      </c>
      <c r="AA11" s="767">
        <v>0.23680000000000001</v>
      </c>
      <c r="AB11" s="768"/>
    </row>
    <row r="12" spans="1:28" ht="15.5" x14ac:dyDescent="0.35">
      <c r="A12" s="59" t="s">
        <v>628</v>
      </c>
      <c r="B12" s="216"/>
      <c r="C12" s="217"/>
      <c r="D12" s="217"/>
      <c r="E12" s="218" t="s">
        <v>629</v>
      </c>
      <c r="F12" s="219"/>
      <c r="G12" s="218"/>
      <c r="H12" s="219"/>
      <c r="I12" s="218"/>
      <c r="J12" s="219"/>
      <c r="K12" s="218"/>
      <c r="L12" s="220"/>
      <c r="M12" s="221" t="s">
        <v>630</v>
      </c>
      <c r="N12" s="222"/>
      <c r="O12" s="222"/>
      <c r="P12" s="222"/>
      <c r="Q12" s="222"/>
      <c r="R12" s="222"/>
      <c r="S12" s="223"/>
      <c r="U12" s="195"/>
      <c r="V12" s="213"/>
      <c r="W12" s="214"/>
    </row>
    <row r="13" spans="1:28" ht="16" thickBot="1" x14ac:dyDescent="0.4">
      <c r="A13" s="59"/>
      <c r="B13" s="216"/>
      <c r="C13" s="224" t="s">
        <v>631</v>
      </c>
      <c r="D13" s="224" t="s">
        <v>632</v>
      </c>
      <c r="E13" s="225" t="s">
        <v>633</v>
      </c>
      <c r="F13" s="224"/>
      <c r="G13" s="226" t="s">
        <v>634</v>
      </c>
      <c r="H13" s="224"/>
      <c r="I13" s="225" t="s">
        <v>635</v>
      </c>
      <c r="J13" s="224"/>
      <c r="K13" s="225" t="s">
        <v>141</v>
      </c>
      <c r="L13" s="227"/>
      <c r="M13" s="228" t="s">
        <v>633</v>
      </c>
      <c r="N13" s="224"/>
      <c r="O13" s="224"/>
      <c r="P13" s="226" t="s">
        <v>634</v>
      </c>
      <c r="Q13" s="224"/>
      <c r="R13" s="229" t="s">
        <v>141</v>
      </c>
      <c r="S13" s="223"/>
      <c r="U13" s="769" t="s">
        <v>627</v>
      </c>
      <c r="V13" s="770">
        <v>0.23680000000000001</v>
      </c>
      <c r="W13" s="771"/>
    </row>
    <row r="14" spans="1:28" ht="16" thickBot="1" x14ac:dyDescent="0.4">
      <c r="A14" s="59"/>
      <c r="B14" s="772"/>
      <c r="C14" s="773"/>
      <c r="D14" s="773"/>
      <c r="E14" s="773"/>
      <c r="F14" s="773"/>
      <c r="G14" s="773"/>
      <c r="H14" s="773"/>
      <c r="I14" s="773"/>
      <c r="J14" s="773"/>
      <c r="K14" s="773"/>
      <c r="L14" s="773"/>
      <c r="M14" s="774"/>
      <c r="N14" s="773"/>
      <c r="O14" s="773"/>
      <c r="P14" s="773"/>
      <c r="Q14" s="773"/>
      <c r="R14" s="773"/>
      <c r="S14" s="775"/>
      <c r="U14" s="230"/>
      <c r="V14" s="231"/>
    </row>
    <row r="15" spans="1:28" ht="15.5" x14ac:dyDescent="0.35">
      <c r="A15" s="59"/>
      <c r="B15" s="232"/>
      <c r="C15" s="233"/>
      <c r="D15" s="233"/>
      <c r="E15" s="233"/>
      <c r="F15" s="233"/>
      <c r="G15" s="233"/>
      <c r="H15" s="233"/>
      <c r="I15" s="233"/>
      <c r="J15" s="233"/>
      <c r="K15" s="233"/>
      <c r="L15" s="234"/>
      <c r="M15" s="233"/>
      <c r="N15" s="233"/>
      <c r="O15" s="233"/>
      <c r="P15" s="233"/>
      <c r="Q15" s="233"/>
      <c r="R15" s="233"/>
      <c r="S15" s="234"/>
    </row>
    <row r="16" spans="1:28" ht="16.5" customHeight="1" x14ac:dyDescent="0.35">
      <c r="A16" s="59"/>
      <c r="B16" s="216"/>
      <c r="C16" s="217" t="s">
        <v>636</v>
      </c>
      <c r="D16" s="235">
        <v>1</v>
      </c>
      <c r="E16" s="236">
        <v>25713.514999999999</v>
      </c>
      <c r="F16" s="237"/>
      <c r="G16" s="237">
        <f t="shared" ref="G16:G21" si="0">IF($M16&gt;$U$11,($E16-$U$11)*$W$11,"ERROR")</f>
        <v>2335.7210700000001</v>
      </c>
      <c r="H16" s="237"/>
      <c r="I16" s="237">
        <f t="shared" ref="I16:I21" si="1">$E16*$V$13</f>
        <v>6088.9603520000001</v>
      </c>
      <c r="J16" s="237"/>
      <c r="K16" s="237">
        <f>E16+ROUND(G16,0)+ROUND(I16,0)</f>
        <v>34138.514999999999</v>
      </c>
      <c r="L16" s="238"/>
      <c r="M16" s="237">
        <f t="shared" ref="M16:M21" si="2">E16</f>
        <v>25713.514999999999</v>
      </c>
      <c r="N16" s="237"/>
      <c r="O16" s="237"/>
      <c r="P16" s="237">
        <f t="shared" ref="P16:P21" si="3">IF($M16&gt;$U$11,($M16-$U$11)*$W$11,"ERROR")</f>
        <v>2335.7210700000001</v>
      </c>
      <c r="Q16" s="237"/>
      <c r="R16" s="237">
        <f t="shared" ref="R16:R21" si="4">SUM(M16:P16)</f>
        <v>28049.236069999999</v>
      </c>
      <c r="S16" s="223"/>
      <c r="U16" s="239"/>
      <c r="V16" s="240"/>
    </row>
    <row r="17" spans="1:22" ht="15.5" x14ac:dyDescent="0.35">
      <c r="A17" s="59"/>
      <c r="B17" s="241"/>
      <c r="C17" s="242"/>
      <c r="D17" s="235">
        <v>2</v>
      </c>
      <c r="E17" s="236">
        <v>27599.751000000004</v>
      </c>
      <c r="F17" s="237"/>
      <c r="G17" s="237">
        <f t="shared" si="0"/>
        <v>2596.0216380000006</v>
      </c>
      <c r="H17" s="237"/>
      <c r="I17" s="237">
        <f t="shared" si="1"/>
        <v>6535.6210368000011</v>
      </c>
      <c r="J17" s="237"/>
      <c r="K17" s="237">
        <f t="shared" ref="K17:K34" si="5">E17+ROUND(G17,0)+ROUND(I17,0)</f>
        <v>36731.751000000004</v>
      </c>
      <c r="L17" s="238"/>
      <c r="M17" s="237">
        <f t="shared" si="2"/>
        <v>27599.751000000004</v>
      </c>
      <c r="N17" s="237"/>
      <c r="O17" s="237"/>
      <c r="P17" s="237">
        <f t="shared" si="3"/>
        <v>2596.0216380000006</v>
      </c>
      <c r="Q17" s="237"/>
      <c r="R17" s="237">
        <f t="shared" si="4"/>
        <v>30195.772638000006</v>
      </c>
      <c r="S17" s="223"/>
      <c r="U17" s="239" t="s">
        <v>637</v>
      </c>
      <c r="V17" s="240"/>
    </row>
    <row r="18" spans="1:22" ht="15.5" x14ac:dyDescent="0.35">
      <c r="A18" s="59"/>
      <c r="B18" s="241"/>
      <c r="C18" s="242"/>
      <c r="D18" s="235">
        <v>3</v>
      </c>
      <c r="E18" s="236">
        <v>29663.172000000002</v>
      </c>
      <c r="F18" s="237"/>
      <c r="G18" s="237">
        <f t="shared" si="0"/>
        <v>2880.7737360000006</v>
      </c>
      <c r="H18" s="237"/>
      <c r="I18" s="237">
        <f t="shared" si="1"/>
        <v>7024.2391296000005</v>
      </c>
      <c r="J18" s="237"/>
      <c r="K18" s="237">
        <f t="shared" si="5"/>
        <v>39568.172000000006</v>
      </c>
      <c r="L18" s="238"/>
      <c r="M18" s="237">
        <f t="shared" si="2"/>
        <v>29663.172000000002</v>
      </c>
      <c r="N18" s="237"/>
      <c r="O18" s="237"/>
      <c r="P18" s="237">
        <f t="shared" si="3"/>
        <v>2880.7737360000006</v>
      </c>
      <c r="Q18" s="237"/>
      <c r="R18" s="237">
        <f t="shared" si="4"/>
        <v>32543.945736000001</v>
      </c>
      <c r="S18" s="223"/>
      <c r="U18" s="239" t="s">
        <v>638</v>
      </c>
      <c r="V18" s="240"/>
    </row>
    <row r="19" spans="1:22" ht="15.5" x14ac:dyDescent="0.35">
      <c r="A19" s="59"/>
      <c r="B19" s="241"/>
      <c r="C19" s="242"/>
      <c r="D19" s="235">
        <v>4</v>
      </c>
      <c r="E19" s="236">
        <f>31777.0615+E53</f>
        <v>34047.061499999996</v>
      </c>
      <c r="F19" s="237"/>
      <c r="G19" s="237">
        <f t="shared" si="0"/>
        <v>3485.7504869999998</v>
      </c>
      <c r="H19" s="237"/>
      <c r="I19" s="237">
        <f t="shared" si="1"/>
        <v>8062.3441631999995</v>
      </c>
      <c r="J19" s="237"/>
      <c r="K19" s="237">
        <f t="shared" si="5"/>
        <v>45595.061499999996</v>
      </c>
      <c r="L19" s="238"/>
      <c r="M19" s="237">
        <f t="shared" si="2"/>
        <v>34047.061499999996</v>
      </c>
      <c r="N19" s="237"/>
      <c r="O19" s="237"/>
      <c r="P19" s="237">
        <f t="shared" si="3"/>
        <v>3485.7504869999998</v>
      </c>
      <c r="Q19" s="237"/>
      <c r="R19" s="237">
        <f t="shared" si="4"/>
        <v>37532.811986999994</v>
      </c>
      <c r="S19" s="223"/>
      <c r="U19" s="239"/>
      <c r="V19" s="240"/>
    </row>
    <row r="20" spans="1:22" ht="15.5" x14ac:dyDescent="0.35">
      <c r="A20" s="59"/>
      <c r="B20" s="241"/>
      <c r="C20" s="242"/>
      <c r="D20" s="235">
        <v>5</v>
      </c>
      <c r="E20" s="236">
        <f>34099.33+E53</f>
        <v>36369.33</v>
      </c>
      <c r="F20" s="237"/>
      <c r="G20" s="237">
        <f t="shared" si="0"/>
        <v>3806.2235400000004</v>
      </c>
      <c r="H20" s="237"/>
      <c r="I20" s="237">
        <f t="shared" si="1"/>
        <v>8612.2573440000015</v>
      </c>
      <c r="J20" s="237"/>
      <c r="K20" s="237">
        <f t="shared" si="5"/>
        <v>48787.33</v>
      </c>
      <c r="L20" s="238"/>
      <c r="M20" s="237">
        <f t="shared" si="2"/>
        <v>36369.33</v>
      </c>
      <c r="N20" s="237"/>
      <c r="O20" s="237"/>
      <c r="P20" s="237">
        <f t="shared" si="3"/>
        <v>3806.2235400000004</v>
      </c>
      <c r="Q20" s="237"/>
      <c r="R20" s="237">
        <f t="shared" si="4"/>
        <v>40175.553540000001</v>
      </c>
      <c r="S20" s="223"/>
      <c r="T20" s="243"/>
      <c r="U20" s="239" t="s">
        <v>639</v>
      </c>
      <c r="V20" s="244"/>
    </row>
    <row r="21" spans="1:22" ht="15.5" x14ac:dyDescent="0.35">
      <c r="A21" s="59"/>
      <c r="B21" s="241"/>
      <c r="C21" s="242"/>
      <c r="D21" s="235">
        <v>6</v>
      </c>
      <c r="E21" s="236">
        <v>36960.202499999999</v>
      </c>
      <c r="F21" s="237"/>
      <c r="G21" s="237">
        <f t="shared" si="0"/>
        <v>3887.7639450000001</v>
      </c>
      <c r="H21" s="237"/>
      <c r="I21" s="237">
        <f t="shared" si="1"/>
        <v>8752.1759519999996</v>
      </c>
      <c r="J21" s="237"/>
      <c r="K21" s="237">
        <f t="shared" si="5"/>
        <v>49600.202499999999</v>
      </c>
      <c r="L21" s="238"/>
      <c r="M21" s="237">
        <f t="shared" si="2"/>
        <v>36960.202499999999</v>
      </c>
      <c r="N21" s="237"/>
      <c r="O21" s="237"/>
      <c r="P21" s="237">
        <f t="shared" si="3"/>
        <v>3887.7639450000001</v>
      </c>
      <c r="Q21" s="237"/>
      <c r="R21" s="237">
        <f t="shared" si="4"/>
        <v>40847.966444999998</v>
      </c>
      <c r="S21" s="223"/>
      <c r="T21" s="243"/>
      <c r="U21" s="239" t="s">
        <v>640</v>
      </c>
      <c r="V21" s="244"/>
    </row>
    <row r="22" spans="1:22" ht="15.5" x14ac:dyDescent="0.35">
      <c r="A22" s="59"/>
      <c r="B22" s="245" t="s">
        <v>641</v>
      </c>
      <c r="C22" s="242"/>
      <c r="D22" s="235"/>
      <c r="E22" s="236"/>
      <c r="F22" s="237"/>
      <c r="G22" s="237"/>
      <c r="H22" s="237"/>
      <c r="I22" s="237"/>
      <c r="J22" s="237"/>
      <c r="K22" s="237"/>
      <c r="L22" s="238"/>
      <c r="M22" s="246" t="s">
        <v>642</v>
      </c>
      <c r="N22" s="237"/>
      <c r="O22" s="237"/>
      <c r="P22" s="237"/>
      <c r="Q22" s="237"/>
      <c r="R22" s="237"/>
      <c r="S22" s="223"/>
      <c r="U22" s="239"/>
      <c r="V22" s="244"/>
    </row>
    <row r="23" spans="1:22" ht="15.5" x14ac:dyDescent="0.35">
      <c r="A23" s="59"/>
      <c r="B23" s="241"/>
      <c r="C23" s="242" t="s">
        <v>643</v>
      </c>
      <c r="D23" s="235">
        <v>1</v>
      </c>
      <c r="E23" s="236">
        <v>38689.485000000001</v>
      </c>
      <c r="F23" s="237"/>
      <c r="G23" s="237">
        <f>IF($M23&gt;$U$11,($E23-$U$11)*$W$11,"ERROR")</f>
        <v>4126.4049300000006</v>
      </c>
      <c r="H23" s="237"/>
      <c r="I23" s="237">
        <f>$E23*$V$13</f>
        <v>9161.670048</v>
      </c>
      <c r="J23" s="237"/>
      <c r="K23" s="237">
        <f t="shared" si="5"/>
        <v>51977.485000000001</v>
      </c>
      <c r="L23" s="238"/>
      <c r="M23" s="237">
        <f>E23</f>
        <v>38689.485000000001</v>
      </c>
      <c r="N23" s="237"/>
      <c r="O23" s="237"/>
      <c r="P23" s="237">
        <f>IF($M23&gt;$U$11,($M23-$U$11)*$W$11,"ERROR")</f>
        <v>4126.4049300000006</v>
      </c>
      <c r="Q23" s="237"/>
      <c r="R23" s="237">
        <f>SUM(M23:P23)</f>
        <v>42815.889930000005</v>
      </c>
      <c r="S23" s="223"/>
      <c r="T23" s="243"/>
      <c r="U23" s="239" t="s">
        <v>644</v>
      </c>
      <c r="V23" s="244"/>
    </row>
    <row r="24" spans="1:22" ht="15.5" x14ac:dyDescent="0.35">
      <c r="A24" s="59"/>
      <c r="B24" s="241"/>
      <c r="C24" s="242" t="s">
        <v>645</v>
      </c>
      <c r="D24" s="235">
        <v>2</v>
      </c>
      <c r="E24" s="236">
        <v>40123.875</v>
      </c>
      <c r="F24" s="237"/>
      <c r="G24" s="237">
        <f>IF($M24&gt;$U$11,($E24-$U$11)*$W$11,"ERROR")</f>
        <v>4324.3507500000005</v>
      </c>
      <c r="H24" s="237"/>
      <c r="I24" s="237">
        <f>$E24*$V$13</f>
        <v>9501.3335999999999</v>
      </c>
      <c r="J24" s="237"/>
      <c r="K24" s="237">
        <f t="shared" si="5"/>
        <v>53948.875</v>
      </c>
      <c r="L24" s="238"/>
      <c r="M24" s="237">
        <f>E24</f>
        <v>40123.875</v>
      </c>
      <c r="N24" s="237"/>
      <c r="O24" s="237"/>
      <c r="P24" s="237">
        <f>IF($M24&gt;$U$11,($M24-$U$11)*$W$11,"ERROR")</f>
        <v>4324.3507500000005</v>
      </c>
      <c r="Q24" s="237"/>
      <c r="R24" s="237">
        <f>SUM(M24:P24)</f>
        <v>44448.225749999998</v>
      </c>
      <c r="S24" s="223"/>
      <c r="T24" s="243"/>
      <c r="U24" s="239" t="s">
        <v>646</v>
      </c>
      <c r="V24" s="244"/>
    </row>
    <row r="25" spans="1:22" ht="15.5" x14ac:dyDescent="0.35">
      <c r="A25" s="59"/>
      <c r="B25" s="241"/>
      <c r="C25" s="242"/>
      <c r="D25" s="235">
        <v>3</v>
      </c>
      <c r="E25" s="236">
        <v>41603.474999999999</v>
      </c>
      <c r="F25" s="237"/>
      <c r="G25" s="237">
        <f>IF($M25&gt;$U$11,($E25-$U$11)*$W$11,"ERROR")</f>
        <v>4528.5355500000005</v>
      </c>
      <c r="H25" s="237"/>
      <c r="I25" s="237">
        <f>$E25*$V$13</f>
        <v>9851.7028800000007</v>
      </c>
      <c r="J25" s="237"/>
      <c r="K25" s="237">
        <f t="shared" si="5"/>
        <v>55984.474999999999</v>
      </c>
      <c r="L25" s="238"/>
      <c r="M25" s="237">
        <f>E25</f>
        <v>41603.474999999999</v>
      </c>
      <c r="N25" s="237"/>
      <c r="O25" s="237"/>
      <c r="P25" s="237">
        <f>IF($M25&gt;$U$11,($M25-$U$11)*$W$11,"ERROR")</f>
        <v>4528.5355500000005</v>
      </c>
      <c r="Q25" s="237"/>
      <c r="R25" s="237">
        <f>SUM(M25:P25)</f>
        <v>46132.010549999999</v>
      </c>
      <c r="S25" s="223"/>
      <c r="T25" s="243"/>
      <c r="U25" s="239"/>
      <c r="V25" s="244"/>
    </row>
    <row r="26" spans="1:22" ht="15.5" x14ac:dyDescent="0.35">
      <c r="A26" s="59"/>
      <c r="B26" s="241"/>
      <c r="C26" s="242"/>
      <c r="D26" s="235"/>
      <c r="E26" s="236"/>
      <c r="F26" s="237"/>
      <c r="G26" s="237"/>
      <c r="H26" s="237"/>
      <c r="I26" s="237"/>
      <c r="J26" s="237"/>
      <c r="K26" s="237"/>
      <c r="L26" s="238"/>
      <c r="M26" s="237"/>
      <c r="N26" s="237"/>
      <c r="O26" s="237"/>
      <c r="P26" s="237"/>
      <c r="Q26" s="237"/>
      <c r="R26" s="237"/>
      <c r="S26" s="223"/>
      <c r="T26" s="243"/>
      <c r="U26" s="239" t="s">
        <v>647</v>
      </c>
    </row>
    <row r="27" spans="1:22" ht="15.5" x14ac:dyDescent="0.35">
      <c r="A27" s="59"/>
      <c r="B27" s="245" t="s">
        <v>648</v>
      </c>
      <c r="C27" s="242"/>
      <c r="D27" s="235"/>
      <c r="E27" s="236"/>
      <c r="F27" s="237"/>
      <c r="G27" s="237"/>
      <c r="H27" s="237"/>
      <c r="I27" s="237"/>
      <c r="J27" s="237"/>
      <c r="K27" s="237"/>
      <c r="L27" s="238"/>
      <c r="M27" s="246" t="s">
        <v>642</v>
      </c>
      <c r="N27" s="237"/>
      <c r="O27" s="237"/>
      <c r="P27" s="237"/>
      <c r="Q27" s="237"/>
      <c r="R27" s="237"/>
      <c r="S27" s="223"/>
      <c r="T27" s="243"/>
      <c r="U27" s="239" t="s">
        <v>649</v>
      </c>
      <c r="V27" s="244"/>
    </row>
    <row r="28" spans="1:22" ht="15.5" x14ac:dyDescent="0.35">
      <c r="A28" s="59"/>
      <c r="B28" s="247"/>
      <c r="C28" s="242"/>
      <c r="D28" s="220"/>
      <c r="E28" s="236"/>
      <c r="F28" s="237"/>
      <c r="G28" s="237"/>
      <c r="H28" s="237"/>
      <c r="I28" s="237"/>
      <c r="J28" s="237"/>
      <c r="K28" s="237"/>
      <c r="L28" s="238"/>
      <c r="M28" s="237"/>
      <c r="N28" s="237"/>
      <c r="O28" s="237"/>
      <c r="P28" s="237"/>
      <c r="Q28" s="237"/>
      <c r="R28" s="237"/>
      <c r="S28" s="223"/>
      <c r="T28" s="243"/>
      <c r="U28" s="239" t="s">
        <v>650</v>
      </c>
      <c r="V28" s="244"/>
    </row>
    <row r="29" spans="1:22" ht="15.5" x14ac:dyDescent="0.35">
      <c r="A29" s="59"/>
      <c r="B29" s="248" t="s">
        <v>651</v>
      </c>
      <c r="C29" s="242" t="s">
        <v>652</v>
      </c>
      <c r="D29" s="249">
        <v>1</v>
      </c>
      <c r="E29" s="236">
        <v>18168.255000000001</v>
      </c>
      <c r="F29" s="237"/>
      <c r="G29" s="237">
        <f t="shared" ref="G29:G34" si="6">IF($M29&gt;$U$11,($E29-$U$11)*$W$11,"ERROR")</f>
        <v>1294.4751900000003</v>
      </c>
      <c r="H29" s="237"/>
      <c r="I29" s="237">
        <f t="shared" ref="I29:I34" si="7">$E29*$V$13</f>
        <v>4302.242784</v>
      </c>
      <c r="J29" s="237"/>
      <c r="K29" s="237">
        <f t="shared" si="5"/>
        <v>23764.255000000001</v>
      </c>
      <c r="L29" s="238"/>
      <c r="M29" s="237">
        <f t="shared" ref="M29:M34" si="8">E29</f>
        <v>18168.255000000001</v>
      </c>
      <c r="N29" s="237"/>
      <c r="O29" s="237"/>
      <c r="P29" s="237">
        <f t="shared" ref="P29:P34" si="9">IF($M29&gt;$U$11,($M29-$U$11)*$W$11,"ERROR")</f>
        <v>1294.4751900000003</v>
      </c>
      <c r="Q29" s="237"/>
      <c r="R29" s="237">
        <f t="shared" ref="R29:R34" si="10">SUM(M29:P29)</f>
        <v>19462.730190000002</v>
      </c>
      <c r="S29" s="223"/>
      <c r="T29" s="243"/>
      <c r="U29" s="239"/>
      <c r="V29" s="244"/>
    </row>
    <row r="30" spans="1:22" ht="15.5" x14ac:dyDescent="0.35">
      <c r="A30" s="59"/>
      <c r="B30" s="248" t="s">
        <v>653</v>
      </c>
      <c r="C30" s="242" t="s">
        <v>654</v>
      </c>
      <c r="D30" s="249">
        <v>2</v>
      </c>
      <c r="E30" s="236">
        <v>20281.822499999998</v>
      </c>
      <c r="F30" s="237"/>
      <c r="G30" s="237">
        <f t="shared" si="6"/>
        <v>1586.1475049999999</v>
      </c>
      <c r="H30" s="237"/>
      <c r="I30" s="237">
        <f t="shared" si="7"/>
        <v>4802.7355680000001</v>
      </c>
      <c r="J30" s="237"/>
      <c r="K30" s="237">
        <f t="shared" si="5"/>
        <v>26670.822499999998</v>
      </c>
      <c r="L30" s="238"/>
      <c r="M30" s="237">
        <f t="shared" si="8"/>
        <v>20281.822499999998</v>
      </c>
      <c r="N30" s="237"/>
      <c r="O30" s="237"/>
      <c r="P30" s="237">
        <f t="shared" si="9"/>
        <v>1586.1475049999999</v>
      </c>
      <c r="Q30" s="237"/>
      <c r="R30" s="237">
        <f t="shared" si="10"/>
        <v>21867.970004999999</v>
      </c>
      <c r="S30" s="223"/>
      <c r="T30" s="243"/>
      <c r="U30" s="239"/>
      <c r="V30" s="244"/>
    </row>
    <row r="31" spans="1:22" ht="15.5" x14ac:dyDescent="0.35">
      <c r="A31" s="59"/>
      <c r="B31" s="250"/>
      <c r="C31" s="242"/>
      <c r="D31" s="249">
        <v>3</v>
      </c>
      <c r="E31" s="236">
        <v>22393.334999999999</v>
      </c>
      <c r="F31" s="237"/>
      <c r="G31" s="237">
        <f t="shared" si="6"/>
        <v>1877.5362299999999</v>
      </c>
      <c r="H31" s="237"/>
      <c r="I31" s="237">
        <f t="shared" si="7"/>
        <v>5302.741728</v>
      </c>
      <c r="J31" s="237"/>
      <c r="K31" s="237">
        <f t="shared" si="5"/>
        <v>29574.334999999999</v>
      </c>
      <c r="L31" s="238"/>
      <c r="M31" s="237">
        <f t="shared" si="8"/>
        <v>22393.334999999999</v>
      </c>
      <c r="N31" s="237"/>
      <c r="O31" s="237"/>
      <c r="P31" s="237">
        <f t="shared" si="9"/>
        <v>1877.5362299999999</v>
      </c>
      <c r="Q31" s="237"/>
      <c r="R31" s="237">
        <f t="shared" si="10"/>
        <v>24270.871230000001</v>
      </c>
      <c r="S31" s="223"/>
      <c r="T31" s="243"/>
      <c r="U31" s="239"/>
    </row>
    <row r="32" spans="1:22" ht="15.5" x14ac:dyDescent="0.35">
      <c r="A32" s="59"/>
      <c r="B32" s="250"/>
      <c r="C32" s="242"/>
      <c r="D32" s="249">
        <v>4</v>
      </c>
      <c r="E32" s="236">
        <v>24506.9025</v>
      </c>
      <c r="F32" s="237"/>
      <c r="G32" s="237">
        <f t="shared" si="6"/>
        <v>2169.2085450000004</v>
      </c>
      <c r="H32" s="237"/>
      <c r="I32" s="237">
        <f t="shared" si="7"/>
        <v>5803.234512</v>
      </c>
      <c r="J32" s="237"/>
      <c r="K32" s="237">
        <f t="shared" si="5"/>
        <v>32478.9025</v>
      </c>
      <c r="L32" s="238"/>
      <c r="M32" s="237">
        <f t="shared" si="8"/>
        <v>24506.9025</v>
      </c>
      <c r="N32" s="237"/>
      <c r="O32" s="237"/>
      <c r="P32" s="237">
        <f t="shared" si="9"/>
        <v>2169.2085450000004</v>
      </c>
      <c r="Q32" s="237"/>
      <c r="R32" s="237">
        <f t="shared" si="10"/>
        <v>26676.111045000001</v>
      </c>
      <c r="S32" s="223"/>
      <c r="T32" s="243"/>
      <c r="U32" s="239"/>
    </row>
    <row r="33" spans="1:22" ht="15.5" x14ac:dyDescent="0.35">
      <c r="A33" s="59"/>
      <c r="B33" s="247"/>
      <c r="C33" s="242"/>
      <c r="D33" s="249">
        <v>5</v>
      </c>
      <c r="E33" s="236">
        <v>26621.497499999998</v>
      </c>
      <c r="F33" s="237"/>
      <c r="G33" s="237">
        <f t="shared" si="6"/>
        <v>2461.0226549999998</v>
      </c>
      <c r="H33" s="237"/>
      <c r="I33" s="237">
        <f t="shared" si="7"/>
        <v>6303.9706079999996</v>
      </c>
      <c r="J33" s="237"/>
      <c r="K33" s="237">
        <f t="shared" si="5"/>
        <v>35386.497499999998</v>
      </c>
      <c r="L33" s="238"/>
      <c r="M33" s="237">
        <f t="shared" si="8"/>
        <v>26621.497499999998</v>
      </c>
      <c r="N33" s="237"/>
      <c r="O33" s="237"/>
      <c r="P33" s="237">
        <f t="shared" si="9"/>
        <v>2461.0226549999998</v>
      </c>
      <c r="Q33" s="237"/>
      <c r="R33" s="237">
        <f t="shared" si="10"/>
        <v>29082.520154999998</v>
      </c>
      <c r="S33" s="223"/>
      <c r="T33" s="243"/>
      <c r="U33" s="239"/>
      <c r="V33" s="244"/>
    </row>
    <row r="34" spans="1:22" ht="15.5" x14ac:dyDescent="0.35">
      <c r="A34" s="59"/>
      <c r="B34" s="247"/>
      <c r="C34" s="242"/>
      <c r="D34" s="249">
        <v>6</v>
      </c>
      <c r="E34" s="236">
        <v>28734.037499999999</v>
      </c>
      <c r="F34" s="237"/>
      <c r="G34" s="237">
        <f t="shared" si="6"/>
        <v>2752.553175</v>
      </c>
      <c r="H34" s="237"/>
      <c r="I34" s="237">
        <f t="shared" si="7"/>
        <v>6804.2200800000001</v>
      </c>
      <c r="J34" s="237"/>
      <c r="K34" s="237">
        <f t="shared" si="5"/>
        <v>38291.037499999999</v>
      </c>
      <c r="L34" s="238"/>
      <c r="M34" s="237">
        <f t="shared" si="8"/>
        <v>28734.037499999999</v>
      </c>
      <c r="N34" s="237"/>
      <c r="O34" s="237"/>
      <c r="P34" s="237">
        <f t="shared" si="9"/>
        <v>2752.553175</v>
      </c>
      <c r="Q34" s="237"/>
      <c r="R34" s="237">
        <f t="shared" si="10"/>
        <v>31486.590674999999</v>
      </c>
      <c r="S34" s="223"/>
      <c r="T34" s="243"/>
      <c r="U34" s="239"/>
      <c r="V34" s="244"/>
    </row>
    <row r="35" spans="1:22" ht="15.5" x14ac:dyDescent="0.35">
      <c r="A35" s="59"/>
      <c r="B35" s="247"/>
      <c r="C35" s="242"/>
      <c r="D35" s="249"/>
      <c r="E35" s="251"/>
      <c r="F35" s="251"/>
      <c r="G35" s="251"/>
      <c r="H35" s="251"/>
      <c r="I35" s="251"/>
      <c r="J35" s="251"/>
      <c r="K35" s="251"/>
      <c r="L35" s="252"/>
      <c r="M35" s="251"/>
      <c r="N35" s="251"/>
      <c r="O35" s="251"/>
      <c r="P35" s="251"/>
      <c r="Q35" s="251"/>
      <c r="R35" s="251"/>
      <c r="S35" s="223"/>
      <c r="T35" s="243"/>
      <c r="U35" s="239"/>
      <c r="V35" s="244"/>
    </row>
    <row r="36" spans="1:22" ht="15.5" x14ac:dyDescent="0.35">
      <c r="A36" s="59"/>
      <c r="B36" s="247"/>
      <c r="C36" s="242"/>
      <c r="D36" s="249"/>
      <c r="E36" s="251"/>
      <c r="F36" s="251"/>
      <c r="G36" s="251"/>
      <c r="H36" s="251"/>
      <c r="I36" s="251"/>
      <c r="J36" s="251"/>
      <c r="K36" s="251"/>
      <c r="L36" s="252"/>
      <c r="M36" s="251"/>
      <c r="N36" s="251"/>
      <c r="O36" s="251"/>
      <c r="P36" s="251"/>
      <c r="Q36" s="251"/>
      <c r="R36" s="251"/>
      <c r="S36" s="223"/>
      <c r="T36" s="243"/>
      <c r="U36" s="239"/>
      <c r="V36" s="244"/>
    </row>
    <row r="37" spans="1:22" ht="16" thickBot="1" x14ac:dyDescent="0.4">
      <c r="A37" s="59"/>
      <c r="B37" s="776"/>
      <c r="C37" s="777"/>
      <c r="D37" s="778"/>
      <c r="E37" s="779"/>
      <c r="F37" s="779"/>
      <c r="G37" s="779"/>
      <c r="H37" s="779"/>
      <c r="I37" s="779"/>
      <c r="J37" s="779"/>
      <c r="K37" s="779"/>
      <c r="L37" s="780"/>
      <c r="M37" s="781"/>
      <c r="N37" s="779"/>
      <c r="O37" s="779"/>
      <c r="P37" s="779"/>
      <c r="Q37" s="779"/>
      <c r="R37" s="779"/>
      <c r="S37" s="775"/>
      <c r="T37" s="243"/>
      <c r="U37" s="239"/>
    </row>
    <row r="38" spans="1:22" ht="13.5" thickBot="1" x14ac:dyDescent="0.35">
      <c r="A38" s="59"/>
      <c r="B38" s="253"/>
      <c r="C38" s="230"/>
      <c r="D38" s="254"/>
      <c r="E38" s="255"/>
      <c r="F38" s="255"/>
      <c r="G38" s="255"/>
      <c r="H38" s="255"/>
      <c r="I38" s="255"/>
      <c r="J38" s="255"/>
      <c r="K38" s="255"/>
      <c r="L38" s="255"/>
      <c r="M38" s="255"/>
      <c r="N38" s="255"/>
      <c r="O38" s="255"/>
      <c r="P38" s="255"/>
      <c r="Q38" s="255"/>
      <c r="R38" s="255"/>
      <c r="T38" s="243"/>
    </row>
    <row r="39" spans="1:22" ht="13" x14ac:dyDescent="0.3">
      <c r="A39" s="59" t="s">
        <v>655</v>
      </c>
      <c r="B39" s="256" t="s">
        <v>656</v>
      </c>
      <c r="C39" s="257"/>
      <c r="D39" s="258"/>
      <c r="E39" s="259"/>
      <c r="F39" s="259"/>
      <c r="G39" s="260"/>
      <c r="H39" s="255"/>
      <c r="I39" s="255"/>
      <c r="J39" s="255"/>
      <c r="K39" s="255"/>
      <c r="L39" s="255"/>
      <c r="M39" s="255"/>
      <c r="N39" s="255"/>
      <c r="O39" s="255"/>
      <c r="P39" s="255"/>
      <c r="Q39" s="255"/>
      <c r="R39" s="255"/>
      <c r="T39" s="243"/>
    </row>
    <row r="40" spans="1:22" x14ac:dyDescent="0.25">
      <c r="B40" s="195"/>
      <c r="C40" s="261"/>
      <c r="D40" s="262"/>
      <c r="E40" s="263"/>
      <c r="F40" s="263"/>
      <c r="G40" s="264"/>
      <c r="T40" s="243"/>
    </row>
    <row r="41" spans="1:22" x14ac:dyDescent="0.25">
      <c r="B41" s="195" t="s">
        <v>657</v>
      </c>
      <c r="C41" s="261"/>
      <c r="D41" s="262"/>
      <c r="E41" s="263"/>
      <c r="F41" s="263"/>
      <c r="G41" s="264"/>
      <c r="H41" s="101" t="s">
        <v>658</v>
      </c>
      <c r="T41" s="243"/>
    </row>
    <row r="42" spans="1:22" x14ac:dyDescent="0.25">
      <c r="B42" s="195" t="s">
        <v>659</v>
      </c>
      <c r="C42" s="261"/>
      <c r="D42" s="262"/>
      <c r="E42" s="265">
        <v>571</v>
      </c>
      <c r="F42" s="263"/>
      <c r="G42" s="264"/>
      <c r="T42" s="243"/>
    </row>
    <row r="43" spans="1:22" x14ac:dyDescent="0.25">
      <c r="B43" s="195" t="s">
        <v>660</v>
      </c>
      <c r="C43" s="261"/>
      <c r="D43" s="262"/>
      <c r="E43" s="265">
        <v>2833</v>
      </c>
      <c r="F43" s="263"/>
      <c r="G43" s="264"/>
    </row>
    <row r="44" spans="1:22" x14ac:dyDescent="0.25">
      <c r="B44" s="195"/>
      <c r="C44" s="261"/>
      <c r="D44" s="262"/>
      <c r="E44" s="265"/>
      <c r="F44" s="263"/>
      <c r="G44" s="264"/>
    </row>
    <row r="45" spans="1:22" x14ac:dyDescent="0.25">
      <c r="B45" s="195" t="s">
        <v>661</v>
      </c>
      <c r="C45" s="266"/>
      <c r="D45" s="196"/>
      <c r="E45" s="265"/>
      <c r="F45" s="266"/>
      <c r="G45" s="267"/>
      <c r="H45" s="101" t="s">
        <v>662</v>
      </c>
    </row>
    <row r="46" spans="1:22" x14ac:dyDescent="0.25">
      <c r="B46" s="195" t="s">
        <v>659</v>
      </c>
      <c r="C46" s="266"/>
      <c r="D46" s="196"/>
      <c r="E46" s="265">
        <v>2873</v>
      </c>
      <c r="F46" s="266"/>
      <c r="G46" s="264"/>
    </row>
    <row r="47" spans="1:22" x14ac:dyDescent="0.25">
      <c r="B47" s="195" t="s">
        <v>660</v>
      </c>
      <c r="C47" s="266"/>
      <c r="D47" s="196"/>
      <c r="E47" s="265">
        <v>7017</v>
      </c>
      <c r="F47" s="266"/>
      <c r="G47" s="264"/>
    </row>
    <row r="48" spans="1:22" x14ac:dyDescent="0.25">
      <c r="B48" s="195"/>
      <c r="C48" s="266"/>
      <c r="D48" s="196"/>
      <c r="E48" s="265"/>
      <c r="F48" s="266"/>
      <c r="G48" s="264"/>
    </row>
    <row r="49" spans="2:22" x14ac:dyDescent="0.25">
      <c r="B49" s="195" t="s">
        <v>663</v>
      </c>
      <c r="C49" s="266"/>
      <c r="D49" s="196"/>
      <c r="E49" s="265"/>
      <c r="F49" s="266"/>
      <c r="G49" s="264"/>
      <c r="H49" s="101" t="s">
        <v>664</v>
      </c>
    </row>
    <row r="50" spans="2:22" x14ac:dyDescent="0.25">
      <c r="B50" s="268" t="s">
        <v>659</v>
      </c>
      <c r="C50" s="196"/>
      <c r="D50" s="196"/>
      <c r="E50" s="265">
        <v>8291</v>
      </c>
      <c r="F50" s="266"/>
      <c r="G50" s="264"/>
      <c r="V50" s="244"/>
    </row>
    <row r="51" spans="2:22" x14ac:dyDescent="0.25">
      <c r="B51" s="268" t="s">
        <v>660</v>
      </c>
      <c r="C51" s="196"/>
      <c r="D51" s="196"/>
      <c r="E51" s="265">
        <v>14030</v>
      </c>
      <c r="F51" s="266"/>
      <c r="G51" s="264"/>
      <c r="V51" s="244"/>
    </row>
    <row r="52" spans="2:22" x14ac:dyDescent="0.25">
      <c r="B52" s="268"/>
      <c r="C52" s="196"/>
      <c r="D52" s="196"/>
      <c r="E52" s="265"/>
      <c r="F52" s="266"/>
      <c r="G52" s="264"/>
    </row>
    <row r="53" spans="2:22" x14ac:dyDescent="0.25">
      <c r="B53" s="268" t="s">
        <v>665</v>
      </c>
      <c r="C53" s="196"/>
      <c r="D53" s="196"/>
      <c r="E53" s="265">
        <v>2270</v>
      </c>
      <c r="F53" s="266"/>
      <c r="G53" s="264"/>
    </row>
    <row r="54" spans="2:22" ht="13" thickBot="1" x14ac:dyDescent="0.3">
      <c r="B54" s="769" t="s">
        <v>666</v>
      </c>
      <c r="C54" s="782"/>
      <c r="D54" s="782"/>
      <c r="E54" s="783">
        <v>4479</v>
      </c>
      <c r="F54" s="784"/>
      <c r="G54" s="785"/>
      <c r="V54" s="244"/>
    </row>
    <row r="55" spans="2:22" x14ac:dyDescent="0.25">
      <c r="V55" s="244"/>
    </row>
    <row r="57" spans="2:22" ht="13" x14ac:dyDescent="0.3">
      <c r="B57" s="59"/>
      <c r="V57" s="244"/>
    </row>
    <row r="58" spans="2:22" x14ac:dyDescent="0.25">
      <c r="V58" s="244"/>
    </row>
    <row r="59" spans="2:22" x14ac:dyDescent="0.25">
      <c r="B59" s="269"/>
      <c r="C59"/>
      <c r="E59" s="255"/>
      <c r="F59"/>
      <c r="G59"/>
    </row>
    <row r="60" spans="2:22" x14ac:dyDescent="0.25">
      <c r="C60"/>
      <c r="E60" s="255"/>
      <c r="F60"/>
      <c r="G60"/>
    </row>
    <row r="61" spans="2:22" ht="15.5" x14ac:dyDescent="0.35">
      <c r="B61" s="216"/>
      <c r="C61" s="217"/>
      <c r="D61" s="217"/>
      <c r="E61" s="218" t="s">
        <v>629</v>
      </c>
      <c r="F61" s="219"/>
      <c r="G61" s="218"/>
      <c r="H61" s="219"/>
      <c r="I61" s="218"/>
      <c r="J61" s="219"/>
      <c r="K61" s="218"/>
      <c r="L61" s="220"/>
      <c r="M61" s="221" t="s">
        <v>630</v>
      </c>
      <c r="N61" s="222"/>
      <c r="O61" s="222"/>
      <c r="P61" s="222"/>
      <c r="Q61" s="222"/>
      <c r="R61" s="222"/>
      <c r="S61" s="223"/>
    </row>
    <row r="62" spans="2:22" ht="15.5" x14ac:dyDescent="0.35">
      <c r="B62" s="216"/>
      <c r="C62" s="224" t="s">
        <v>631</v>
      </c>
      <c r="D62" s="224" t="s">
        <v>632</v>
      </c>
      <c r="E62" s="225" t="s">
        <v>633</v>
      </c>
      <c r="F62" s="224"/>
      <c r="G62" s="226" t="s">
        <v>634</v>
      </c>
      <c r="H62" s="224"/>
      <c r="I62" s="225" t="s">
        <v>635</v>
      </c>
      <c r="J62" s="224"/>
      <c r="K62" s="225" t="s">
        <v>141</v>
      </c>
      <c r="L62" s="227"/>
      <c r="M62" s="228" t="s">
        <v>633</v>
      </c>
      <c r="N62" s="224"/>
      <c r="O62" s="224"/>
      <c r="P62" s="226" t="s">
        <v>634</v>
      </c>
      <c r="Q62" s="224"/>
      <c r="R62" s="229" t="s">
        <v>141</v>
      </c>
      <c r="S62" s="223"/>
    </row>
    <row r="63" spans="2:22" ht="16" thickBot="1" x14ac:dyDescent="0.4">
      <c r="B63" s="772"/>
      <c r="C63" s="773"/>
      <c r="D63" s="773"/>
      <c r="E63" s="773"/>
      <c r="F63" s="773"/>
      <c r="G63" s="773"/>
      <c r="H63" s="773"/>
      <c r="I63" s="773"/>
      <c r="J63" s="773"/>
      <c r="K63" s="773"/>
      <c r="L63" s="773"/>
      <c r="M63" s="774"/>
      <c r="N63" s="773"/>
      <c r="O63" s="773"/>
      <c r="P63" s="773"/>
      <c r="Q63" s="773"/>
      <c r="R63" s="773"/>
      <c r="S63" s="775"/>
    </row>
    <row r="64" spans="2:22" ht="15.5" x14ac:dyDescent="0.35">
      <c r="B64" s="232"/>
      <c r="C64" s="233"/>
      <c r="D64" s="233"/>
      <c r="E64" s="233"/>
      <c r="F64" s="233"/>
      <c r="G64" s="233"/>
      <c r="H64" s="233"/>
      <c r="I64" s="233"/>
      <c r="J64" s="233"/>
      <c r="K64" s="233"/>
      <c r="L64" s="234"/>
      <c r="M64" s="233"/>
      <c r="N64" s="233"/>
      <c r="O64" s="233"/>
      <c r="P64" s="233"/>
      <c r="Q64" s="233"/>
      <c r="R64" s="233"/>
      <c r="S64" s="234"/>
    </row>
    <row r="65" spans="2:19" ht="15.5" x14ac:dyDescent="0.35">
      <c r="B65" s="216"/>
      <c r="C65" s="217" t="s">
        <v>636</v>
      </c>
      <c r="D65" s="235">
        <v>1</v>
      </c>
      <c r="E65" s="236">
        <v>25713.514999999999</v>
      </c>
      <c r="F65" s="237"/>
      <c r="G65" s="237">
        <f t="shared" ref="G65:G70" si="11">IF($M65&gt;$U$11,($E65-$U$11)*$W$11,"ERROR")</f>
        <v>2335.7210700000001</v>
      </c>
      <c r="H65" s="237"/>
      <c r="I65" s="237">
        <f t="shared" ref="I65:I70" si="12">$E65*$V$13</f>
        <v>6088.9603520000001</v>
      </c>
      <c r="J65" s="237"/>
      <c r="K65" s="237">
        <f t="shared" ref="K65:K70" si="13">E65+ROUND(G65,0)+ROUND(I65,0)</f>
        <v>34138.514999999999</v>
      </c>
      <c r="L65" s="238"/>
      <c r="M65" s="237">
        <f t="shared" ref="M65:M70" si="14">E65</f>
        <v>25713.514999999999</v>
      </c>
      <c r="N65" s="237"/>
      <c r="O65" s="237"/>
      <c r="P65" s="237">
        <f t="shared" ref="P65:P70" si="15">IF($M65&gt;$U$11,($M65-$U$11)*$W$11,"ERROR")</f>
        <v>2335.7210700000001</v>
      </c>
      <c r="Q65" s="237"/>
      <c r="R65" s="237">
        <f t="shared" ref="R65:R70" si="16">SUM(M65:P65)</f>
        <v>28049.236069999999</v>
      </c>
      <c r="S65" s="223"/>
    </row>
    <row r="66" spans="2:19" ht="15.5" x14ac:dyDescent="0.35">
      <c r="B66" s="241"/>
      <c r="C66" s="242"/>
      <c r="D66" s="235">
        <v>2</v>
      </c>
      <c r="E66" s="236">
        <v>27599.751000000004</v>
      </c>
      <c r="F66" s="237"/>
      <c r="G66" s="237">
        <f t="shared" si="11"/>
        <v>2596.0216380000006</v>
      </c>
      <c r="H66" s="237"/>
      <c r="I66" s="237">
        <f t="shared" si="12"/>
        <v>6535.6210368000011</v>
      </c>
      <c r="J66" s="237"/>
      <c r="K66" s="237">
        <f t="shared" si="13"/>
        <v>36731.751000000004</v>
      </c>
      <c r="L66" s="238"/>
      <c r="M66" s="237">
        <f t="shared" si="14"/>
        <v>27599.751000000004</v>
      </c>
      <c r="N66" s="237"/>
      <c r="O66" s="237"/>
      <c r="P66" s="237">
        <f t="shared" si="15"/>
        <v>2596.0216380000006</v>
      </c>
      <c r="Q66" s="237"/>
      <c r="R66" s="237">
        <f t="shared" si="16"/>
        <v>30195.772638000006</v>
      </c>
      <c r="S66" s="223"/>
    </row>
    <row r="67" spans="2:19" ht="15.5" x14ac:dyDescent="0.35">
      <c r="B67" s="241"/>
      <c r="C67" s="242"/>
      <c r="D67" s="235">
        <v>3</v>
      </c>
      <c r="E67" s="236">
        <v>29663.172000000002</v>
      </c>
      <c r="F67" s="237"/>
      <c r="G67" s="237">
        <f>IF($M67&gt;$U$11,($E67-$U$11)*$W$11,"ERROR")</f>
        <v>2880.7737360000006</v>
      </c>
      <c r="H67" s="237"/>
      <c r="I67" s="237">
        <f t="shared" si="12"/>
        <v>7024.2391296000005</v>
      </c>
      <c r="J67" s="237"/>
      <c r="K67" s="237">
        <f t="shared" si="13"/>
        <v>39568.172000000006</v>
      </c>
      <c r="L67" s="238"/>
      <c r="M67" s="237">
        <f t="shared" si="14"/>
        <v>29663.172000000002</v>
      </c>
      <c r="N67" s="237"/>
      <c r="O67" s="237"/>
      <c r="P67" s="237">
        <f t="shared" si="15"/>
        <v>2880.7737360000006</v>
      </c>
      <c r="Q67" s="237"/>
      <c r="R67" s="237">
        <f t="shared" si="16"/>
        <v>32543.945736000001</v>
      </c>
      <c r="S67" s="223"/>
    </row>
    <row r="68" spans="2:19" ht="15.5" x14ac:dyDescent="0.35">
      <c r="B68" s="241"/>
      <c r="C68" s="242"/>
      <c r="D68" s="235">
        <v>4</v>
      </c>
      <c r="E68" s="236">
        <v>31777.0615</v>
      </c>
      <c r="F68" s="237"/>
      <c r="G68" s="237">
        <f t="shared" si="11"/>
        <v>3172.490487</v>
      </c>
      <c r="H68" s="237"/>
      <c r="I68" s="237">
        <f t="shared" si="12"/>
        <v>7524.8081632000003</v>
      </c>
      <c r="J68" s="237"/>
      <c r="K68" s="237">
        <f t="shared" si="13"/>
        <v>42474.061499999996</v>
      </c>
      <c r="L68" s="238"/>
      <c r="M68" s="237">
        <f t="shared" si="14"/>
        <v>31777.0615</v>
      </c>
      <c r="N68" s="237"/>
      <c r="O68" s="237"/>
      <c r="P68" s="237">
        <f t="shared" si="15"/>
        <v>3172.490487</v>
      </c>
      <c r="Q68" s="237"/>
      <c r="R68" s="237">
        <f t="shared" si="16"/>
        <v>34949.551986999999</v>
      </c>
      <c r="S68" s="223"/>
    </row>
    <row r="69" spans="2:19" ht="15.5" x14ac:dyDescent="0.35">
      <c r="B69" s="241"/>
      <c r="C69" s="242"/>
      <c r="D69" s="235">
        <v>5</v>
      </c>
      <c r="E69" s="347">
        <f>34099.33-((34099.33-E68)*0.2)+E53</f>
        <v>35904.876300000004</v>
      </c>
      <c r="F69" s="237"/>
      <c r="G69" s="237">
        <f t="shared" si="11"/>
        <v>3742.1289294000007</v>
      </c>
      <c r="H69" s="237"/>
      <c r="I69" s="237">
        <f t="shared" si="12"/>
        <v>8502.2747078400007</v>
      </c>
      <c r="J69" s="237"/>
      <c r="K69" s="237">
        <f t="shared" si="13"/>
        <v>48148.876300000004</v>
      </c>
      <c r="L69" s="238"/>
      <c r="M69" s="237">
        <f t="shared" si="14"/>
        <v>35904.876300000004</v>
      </c>
      <c r="N69" s="237"/>
      <c r="O69" s="237"/>
      <c r="P69" s="237">
        <f t="shared" si="15"/>
        <v>3742.1289294000007</v>
      </c>
      <c r="Q69" s="237"/>
      <c r="R69" s="237">
        <f t="shared" si="16"/>
        <v>39647.005229400005</v>
      </c>
      <c r="S69" s="223"/>
    </row>
    <row r="70" spans="2:19" ht="15.5" x14ac:dyDescent="0.35">
      <c r="B70" s="241"/>
      <c r="C70" s="242"/>
      <c r="D70" s="235">
        <v>6</v>
      </c>
      <c r="E70" s="236">
        <v>36960.202499999999</v>
      </c>
      <c r="F70" s="237"/>
      <c r="G70" s="237">
        <f t="shared" si="11"/>
        <v>3887.7639450000001</v>
      </c>
      <c r="H70" s="237"/>
      <c r="I70" s="237">
        <f t="shared" si="12"/>
        <v>8752.1759519999996</v>
      </c>
      <c r="J70" s="237"/>
      <c r="K70" s="237">
        <f t="shared" si="13"/>
        <v>49600.202499999999</v>
      </c>
      <c r="L70" s="238"/>
      <c r="M70" s="237">
        <f t="shared" si="14"/>
        <v>36960.202499999999</v>
      </c>
      <c r="N70" s="237"/>
      <c r="O70" s="237"/>
      <c r="P70" s="237">
        <f t="shared" si="15"/>
        <v>3887.7639450000001</v>
      </c>
      <c r="Q70" s="237"/>
      <c r="R70" s="237">
        <f t="shared" si="16"/>
        <v>40847.966444999998</v>
      </c>
      <c r="S70" s="223"/>
    </row>
    <row r="71" spans="2:19" ht="15.5" x14ac:dyDescent="0.35">
      <c r="B71" s="245" t="s">
        <v>641</v>
      </c>
      <c r="C71" s="242"/>
      <c r="D71" s="235"/>
      <c r="E71" s="236"/>
      <c r="F71" s="237"/>
      <c r="G71" s="237"/>
      <c r="H71" s="237"/>
      <c r="I71" s="237"/>
      <c r="J71" s="237"/>
      <c r="K71" s="237"/>
      <c r="L71" s="238"/>
      <c r="M71" s="246" t="s">
        <v>642</v>
      </c>
      <c r="N71" s="237"/>
      <c r="O71" s="237"/>
      <c r="P71" s="237"/>
      <c r="Q71" s="237"/>
      <c r="R71" s="237"/>
      <c r="S71" s="223"/>
    </row>
    <row r="72" spans="2:19" ht="15.5" x14ac:dyDescent="0.35">
      <c r="B72" s="241"/>
      <c r="C72" s="242" t="s">
        <v>643</v>
      </c>
      <c r="D72" s="235">
        <v>1</v>
      </c>
      <c r="E72" s="236">
        <v>38689.485000000001</v>
      </c>
      <c r="F72" s="237"/>
      <c r="G72" s="237">
        <f>IF($M72&gt;$U$11,($E72-$U$11)*$W$11,"ERROR")</f>
        <v>4126.4049300000006</v>
      </c>
      <c r="H72" s="237"/>
      <c r="I72" s="237">
        <f>$E72*$V$13</f>
        <v>9161.670048</v>
      </c>
      <c r="J72" s="237"/>
      <c r="K72" s="237">
        <f>E72+ROUND(G72,0)+ROUND(I72,0)</f>
        <v>51977.485000000001</v>
      </c>
      <c r="L72" s="238"/>
      <c r="M72" s="237">
        <f>E72</f>
        <v>38689.485000000001</v>
      </c>
      <c r="N72" s="237"/>
      <c r="O72" s="237"/>
      <c r="P72" s="237">
        <f>IF($M72&gt;$U$11,($M72-$U$11)*$W$11,"ERROR")</f>
        <v>4126.4049300000006</v>
      </c>
      <c r="Q72" s="237"/>
      <c r="R72" s="237">
        <f>SUM(M72:P72)</f>
        <v>42815.889930000005</v>
      </c>
      <c r="S72" s="223"/>
    </row>
    <row r="73" spans="2:19" ht="15.5" x14ac:dyDescent="0.35">
      <c r="B73" s="241"/>
      <c r="C73" s="242" t="s">
        <v>645</v>
      </c>
      <c r="D73" s="235">
        <v>2</v>
      </c>
      <c r="E73" s="236">
        <v>40123.875</v>
      </c>
      <c r="F73" s="237"/>
      <c r="G73" s="237">
        <f>IF($M73&gt;$U$11,($E73-$U$11)*$W$11,"ERROR")</f>
        <v>4324.3507500000005</v>
      </c>
      <c r="H73" s="237"/>
      <c r="I73" s="237">
        <f>$E73*$V$13</f>
        <v>9501.3335999999999</v>
      </c>
      <c r="J73" s="237"/>
      <c r="K73" s="237">
        <f>E73+ROUND(G73,0)+ROUND(I73,0)</f>
        <v>53948.875</v>
      </c>
      <c r="L73" s="238"/>
      <c r="M73" s="237">
        <f>E73</f>
        <v>40123.875</v>
      </c>
      <c r="N73" s="237"/>
      <c r="O73" s="237"/>
      <c r="P73" s="237">
        <f>IF($M73&gt;$U$11,($M73-$U$11)*$W$11,"ERROR")</f>
        <v>4324.3507500000005</v>
      </c>
      <c r="Q73" s="237"/>
      <c r="R73" s="237">
        <f>SUM(M73:P73)</f>
        <v>44448.225749999998</v>
      </c>
      <c r="S73" s="223"/>
    </row>
    <row r="74" spans="2:19" ht="15.5" x14ac:dyDescent="0.35">
      <c r="B74" s="241"/>
      <c r="C74" s="242"/>
      <c r="D74" s="235">
        <v>3</v>
      </c>
      <c r="E74" s="236">
        <v>41603.474999999999</v>
      </c>
      <c r="F74" s="237"/>
      <c r="G74" s="237">
        <f>IF($M74&gt;$U$11,($E74-$U$11)*$W$11,"ERROR")</f>
        <v>4528.5355500000005</v>
      </c>
      <c r="H74" s="237"/>
      <c r="I74" s="237">
        <f>$E74*$V$13</f>
        <v>9851.7028800000007</v>
      </c>
      <c r="J74" s="237"/>
      <c r="K74" s="237">
        <f>E74+ROUND(G74,0)+ROUND(I74,0)</f>
        <v>55984.474999999999</v>
      </c>
      <c r="L74" s="238"/>
      <c r="M74" s="237">
        <f>E74</f>
        <v>41603.474999999999</v>
      </c>
      <c r="N74" s="237"/>
      <c r="O74" s="237"/>
      <c r="P74" s="237">
        <f>IF($M74&gt;$U$11,($M74-$U$11)*$W$11,"ERROR")</f>
        <v>4528.5355500000005</v>
      </c>
      <c r="Q74" s="237"/>
      <c r="R74" s="237">
        <f>SUM(M74:P74)</f>
        <v>46132.010549999999</v>
      </c>
      <c r="S74" s="223"/>
    </row>
    <row r="75" spans="2:19" ht="15.5" x14ac:dyDescent="0.35">
      <c r="B75" s="241"/>
      <c r="C75" s="242"/>
      <c r="D75" s="235"/>
      <c r="E75" s="236"/>
      <c r="F75" s="237"/>
      <c r="G75" s="237"/>
      <c r="H75" s="237"/>
      <c r="I75" s="237"/>
      <c r="J75" s="237"/>
      <c r="K75" s="237"/>
      <c r="L75" s="238"/>
      <c r="M75" s="237"/>
      <c r="N75" s="237"/>
      <c r="O75" s="237"/>
      <c r="P75" s="237"/>
      <c r="Q75" s="237"/>
      <c r="R75" s="237"/>
      <c r="S75" s="223"/>
    </row>
    <row r="76" spans="2:19" ht="15.5" x14ac:dyDescent="0.35">
      <c r="B76" s="245" t="s">
        <v>648</v>
      </c>
      <c r="C76" s="242"/>
      <c r="D76" s="235"/>
      <c r="E76" s="236"/>
      <c r="F76" s="237"/>
      <c r="G76" s="237"/>
      <c r="H76" s="237"/>
      <c r="I76" s="237"/>
      <c r="J76" s="237"/>
      <c r="K76" s="237"/>
      <c r="L76" s="238"/>
      <c r="M76" s="246" t="s">
        <v>642</v>
      </c>
      <c r="N76" s="237"/>
      <c r="O76" s="237"/>
      <c r="P76" s="237"/>
      <c r="Q76" s="237"/>
      <c r="R76" s="237"/>
      <c r="S76" s="223"/>
    </row>
    <row r="77" spans="2:19" ht="15.5" x14ac:dyDescent="0.35">
      <c r="B77" s="247"/>
      <c r="C77" s="242"/>
      <c r="D77" s="220"/>
      <c r="E77" s="236"/>
      <c r="F77" s="237"/>
      <c r="G77" s="237"/>
      <c r="H77" s="237"/>
      <c r="I77" s="237"/>
      <c r="J77" s="237"/>
      <c r="K77" s="237"/>
      <c r="L77" s="238"/>
      <c r="M77" s="237"/>
      <c r="N77" s="237"/>
      <c r="O77" s="237"/>
      <c r="P77" s="237"/>
      <c r="Q77" s="237"/>
      <c r="R77" s="237"/>
      <c r="S77" s="223"/>
    </row>
    <row r="78" spans="2:19" ht="15.5" x14ac:dyDescent="0.35">
      <c r="B78" s="248" t="s">
        <v>651</v>
      </c>
      <c r="C78" s="242" t="s">
        <v>652</v>
      </c>
      <c r="D78" s="249">
        <v>1</v>
      </c>
      <c r="E78" s="236">
        <v>18168.255000000001</v>
      </c>
      <c r="F78" s="237"/>
      <c r="G78" s="237">
        <f t="shared" ref="G78:G83" si="17">IF($M78&gt;$U$11,($E78-$U$11)*$W$11,"ERROR")</f>
        <v>1294.4751900000003</v>
      </c>
      <c r="H78" s="237"/>
      <c r="I78" s="237">
        <f t="shared" ref="I78:I83" si="18">$E78*$V$13</f>
        <v>4302.242784</v>
      </c>
      <c r="J78" s="237"/>
      <c r="K78" s="237">
        <f t="shared" ref="K78:K83" si="19">E78+ROUND(G78,0)+ROUND(I78,0)</f>
        <v>23764.255000000001</v>
      </c>
      <c r="L78" s="238"/>
      <c r="M78" s="237">
        <f t="shared" ref="M78:M83" si="20">E78</f>
        <v>18168.255000000001</v>
      </c>
      <c r="N78" s="237"/>
      <c r="O78" s="237"/>
      <c r="P78" s="237">
        <f t="shared" ref="P78:P83" si="21">IF($M78&gt;$U$11,($M78-$U$11)*$W$11,"ERROR")</f>
        <v>1294.4751900000003</v>
      </c>
      <c r="Q78" s="237"/>
      <c r="R78" s="237">
        <f t="shared" ref="R78:R83" si="22">SUM(M78:P78)</f>
        <v>19462.730190000002</v>
      </c>
      <c r="S78" s="223"/>
    </row>
    <row r="79" spans="2:19" ht="15.5" x14ac:dyDescent="0.35">
      <c r="B79" s="248" t="s">
        <v>653</v>
      </c>
      <c r="C79" s="242" t="s">
        <v>654</v>
      </c>
      <c r="D79" s="249">
        <v>2</v>
      </c>
      <c r="E79" s="236">
        <v>20281.822499999998</v>
      </c>
      <c r="F79" s="237"/>
      <c r="G79" s="237">
        <f t="shared" si="17"/>
        <v>1586.1475049999999</v>
      </c>
      <c r="H79" s="237"/>
      <c r="I79" s="237">
        <f t="shared" si="18"/>
        <v>4802.7355680000001</v>
      </c>
      <c r="J79" s="237"/>
      <c r="K79" s="237">
        <f t="shared" si="19"/>
        <v>26670.822499999998</v>
      </c>
      <c r="L79" s="238"/>
      <c r="M79" s="237">
        <f t="shared" si="20"/>
        <v>20281.822499999998</v>
      </c>
      <c r="N79" s="237"/>
      <c r="O79" s="237"/>
      <c r="P79" s="237">
        <f t="shared" si="21"/>
        <v>1586.1475049999999</v>
      </c>
      <c r="Q79" s="237"/>
      <c r="R79" s="237">
        <f t="shared" si="22"/>
        <v>21867.970004999999</v>
      </c>
      <c r="S79" s="223"/>
    </row>
    <row r="80" spans="2:19" ht="15.5" x14ac:dyDescent="0.35">
      <c r="B80" s="250"/>
      <c r="C80" s="242"/>
      <c r="D80" s="249">
        <v>3</v>
      </c>
      <c r="E80" s="236">
        <v>22393.334999999999</v>
      </c>
      <c r="F80" s="237"/>
      <c r="G80" s="237">
        <f t="shared" si="17"/>
        <v>1877.5362299999999</v>
      </c>
      <c r="H80" s="237"/>
      <c r="I80" s="237">
        <f t="shared" si="18"/>
        <v>5302.741728</v>
      </c>
      <c r="J80" s="237"/>
      <c r="K80" s="237">
        <f t="shared" si="19"/>
        <v>29574.334999999999</v>
      </c>
      <c r="L80" s="238"/>
      <c r="M80" s="237">
        <f t="shared" si="20"/>
        <v>22393.334999999999</v>
      </c>
      <c r="N80" s="237"/>
      <c r="O80" s="237"/>
      <c r="P80" s="237">
        <f t="shared" si="21"/>
        <v>1877.5362299999999</v>
      </c>
      <c r="Q80" s="237"/>
      <c r="R80" s="237">
        <f t="shared" si="22"/>
        <v>24270.871230000001</v>
      </c>
      <c r="S80" s="223"/>
    </row>
    <row r="81" spans="2:19" ht="15.5" x14ac:dyDescent="0.35">
      <c r="B81" s="250"/>
      <c r="C81" s="242"/>
      <c r="D81" s="249">
        <v>4</v>
      </c>
      <c r="E81" s="236">
        <v>24506.9025</v>
      </c>
      <c r="F81" s="237"/>
      <c r="G81" s="237">
        <f t="shared" si="17"/>
        <v>2169.2085450000004</v>
      </c>
      <c r="H81" s="237"/>
      <c r="I81" s="237">
        <f t="shared" si="18"/>
        <v>5803.234512</v>
      </c>
      <c r="J81" s="237"/>
      <c r="K81" s="237">
        <f t="shared" si="19"/>
        <v>32478.9025</v>
      </c>
      <c r="L81" s="238"/>
      <c r="M81" s="237">
        <f t="shared" si="20"/>
        <v>24506.9025</v>
      </c>
      <c r="N81" s="237"/>
      <c r="O81" s="237"/>
      <c r="P81" s="237">
        <f t="shared" si="21"/>
        <v>2169.2085450000004</v>
      </c>
      <c r="Q81" s="237"/>
      <c r="R81" s="237">
        <f t="shared" si="22"/>
        <v>26676.111045000001</v>
      </c>
      <c r="S81" s="223"/>
    </row>
    <row r="82" spans="2:19" ht="15.5" x14ac:dyDescent="0.35">
      <c r="B82" s="247"/>
      <c r="C82" s="242"/>
      <c r="D82" s="249">
        <v>5</v>
      </c>
      <c r="E82" s="236">
        <v>26621.497499999998</v>
      </c>
      <c r="F82" s="237"/>
      <c r="G82" s="237">
        <f t="shared" si="17"/>
        <v>2461.0226549999998</v>
      </c>
      <c r="H82" s="237"/>
      <c r="I82" s="237">
        <f t="shared" si="18"/>
        <v>6303.9706079999996</v>
      </c>
      <c r="J82" s="237"/>
      <c r="K82" s="237">
        <f t="shared" si="19"/>
        <v>35386.497499999998</v>
      </c>
      <c r="L82" s="238"/>
      <c r="M82" s="237">
        <f t="shared" si="20"/>
        <v>26621.497499999998</v>
      </c>
      <c r="N82" s="237"/>
      <c r="O82" s="237"/>
      <c r="P82" s="237">
        <f t="shared" si="21"/>
        <v>2461.0226549999998</v>
      </c>
      <c r="Q82" s="237"/>
      <c r="R82" s="237">
        <f t="shared" si="22"/>
        <v>29082.520154999998</v>
      </c>
      <c r="S82" s="223"/>
    </row>
    <row r="83" spans="2:19" ht="15.5" x14ac:dyDescent="0.35">
      <c r="B83" s="247"/>
      <c r="C83" s="242"/>
      <c r="D83" s="249">
        <v>6</v>
      </c>
      <c r="E83" s="236">
        <v>28734.037499999999</v>
      </c>
      <c r="F83" s="237"/>
      <c r="G83" s="237">
        <f t="shared" si="17"/>
        <v>2752.553175</v>
      </c>
      <c r="H83" s="237"/>
      <c r="I83" s="237">
        <f t="shared" si="18"/>
        <v>6804.2200800000001</v>
      </c>
      <c r="J83" s="237"/>
      <c r="K83" s="237">
        <f t="shared" si="19"/>
        <v>38291.037499999999</v>
      </c>
      <c r="L83" s="238"/>
      <c r="M83" s="237">
        <f t="shared" si="20"/>
        <v>28734.037499999999</v>
      </c>
      <c r="N83" s="237"/>
      <c r="O83" s="237"/>
      <c r="P83" s="237">
        <f t="shared" si="21"/>
        <v>2752.553175</v>
      </c>
      <c r="Q83" s="237"/>
      <c r="R83" s="237">
        <f t="shared" si="22"/>
        <v>31486.590674999999</v>
      </c>
      <c r="S83" s="223"/>
    </row>
    <row r="84" spans="2:19" ht="15.5" x14ac:dyDescent="0.35">
      <c r="B84" s="247"/>
      <c r="C84" s="242"/>
      <c r="D84" s="249"/>
      <c r="E84" s="251"/>
      <c r="F84" s="251"/>
      <c r="G84" s="251"/>
      <c r="H84" s="251"/>
      <c r="I84" s="251"/>
      <c r="J84" s="251"/>
      <c r="K84" s="251"/>
      <c r="L84" s="252"/>
      <c r="M84" s="251"/>
      <c r="N84" s="251"/>
      <c r="O84" s="251"/>
      <c r="P84" s="251"/>
      <c r="Q84" s="251"/>
      <c r="R84" s="251"/>
      <c r="S84" s="223"/>
    </row>
    <row r="85" spans="2:19" ht="15.5" x14ac:dyDescent="0.35">
      <c r="B85" s="247"/>
      <c r="C85" s="242"/>
      <c r="D85" s="249"/>
      <c r="E85" s="251"/>
      <c r="F85" s="251"/>
      <c r="G85" s="251"/>
      <c r="H85" s="251"/>
      <c r="I85" s="251"/>
      <c r="J85" s="251"/>
      <c r="K85" s="251"/>
      <c r="L85" s="252"/>
      <c r="M85" s="251"/>
      <c r="N85" s="251"/>
      <c r="O85" s="251"/>
      <c r="P85" s="251"/>
      <c r="Q85" s="251"/>
      <c r="R85" s="251"/>
      <c r="S85" s="223"/>
    </row>
    <row r="86" spans="2:19" ht="16" thickBot="1" x14ac:dyDescent="0.4">
      <c r="B86" s="776"/>
      <c r="C86" s="777"/>
      <c r="D86" s="778"/>
      <c r="E86" s="779"/>
      <c r="F86" s="779"/>
      <c r="G86" s="779"/>
      <c r="H86" s="779"/>
      <c r="I86" s="779"/>
      <c r="J86" s="779"/>
      <c r="K86" s="779"/>
      <c r="L86" s="780"/>
      <c r="M86" s="781"/>
      <c r="N86" s="779"/>
      <c r="O86" s="779"/>
      <c r="P86" s="779"/>
      <c r="Q86" s="779"/>
      <c r="R86" s="779"/>
      <c r="S86" s="775"/>
    </row>
    <row r="90" spans="2:19" ht="15.5" x14ac:dyDescent="0.35">
      <c r="B90" s="216"/>
      <c r="C90" s="217"/>
      <c r="D90" s="217"/>
      <c r="E90" s="218" t="s">
        <v>629</v>
      </c>
      <c r="F90" s="219"/>
      <c r="G90" s="218"/>
      <c r="H90" s="219"/>
      <c r="I90" s="218"/>
      <c r="J90" s="219"/>
      <c r="K90" s="218"/>
      <c r="L90" s="220"/>
      <c r="M90" s="221" t="s">
        <v>630</v>
      </c>
      <c r="N90" s="222"/>
      <c r="O90" s="222"/>
      <c r="P90" s="222"/>
      <c r="Q90" s="222"/>
      <c r="R90" s="222"/>
      <c r="S90" s="223"/>
    </row>
    <row r="91" spans="2:19" ht="15.5" x14ac:dyDescent="0.35">
      <c r="B91" s="216"/>
      <c r="C91" s="224" t="s">
        <v>631</v>
      </c>
      <c r="D91" s="224" t="s">
        <v>632</v>
      </c>
      <c r="E91" s="225" t="s">
        <v>633</v>
      </c>
      <c r="F91" s="224"/>
      <c r="G91" s="226" t="s">
        <v>634</v>
      </c>
      <c r="H91" s="224"/>
      <c r="I91" s="225" t="s">
        <v>635</v>
      </c>
      <c r="J91" s="224"/>
      <c r="K91" s="225" t="s">
        <v>141</v>
      </c>
      <c r="L91" s="227"/>
      <c r="M91" s="228" t="s">
        <v>633</v>
      </c>
      <c r="N91" s="224"/>
      <c r="O91" s="224"/>
      <c r="P91" s="226" t="s">
        <v>634</v>
      </c>
      <c r="Q91" s="224"/>
      <c r="R91" s="229" t="s">
        <v>141</v>
      </c>
      <c r="S91" s="223"/>
    </row>
    <row r="92" spans="2:19" ht="16" thickBot="1" x14ac:dyDescent="0.4">
      <c r="B92" s="772"/>
      <c r="C92" s="773"/>
      <c r="D92" s="773"/>
      <c r="E92" s="773"/>
      <c r="F92" s="773"/>
      <c r="G92" s="773"/>
      <c r="H92" s="773"/>
      <c r="I92" s="773"/>
      <c r="J92" s="773"/>
      <c r="K92" s="773"/>
      <c r="L92" s="773"/>
      <c r="M92" s="774"/>
      <c r="N92" s="773"/>
      <c r="O92" s="773"/>
      <c r="P92" s="773"/>
      <c r="Q92" s="773"/>
      <c r="R92" s="773"/>
      <c r="S92" s="775"/>
    </row>
    <row r="93" spans="2:19" ht="15.5" x14ac:dyDescent="0.35">
      <c r="B93" s="232"/>
      <c r="C93" s="233"/>
      <c r="D93" s="233"/>
      <c r="E93" s="233"/>
      <c r="F93" s="233"/>
      <c r="G93" s="233"/>
      <c r="H93" s="233"/>
      <c r="I93" s="233"/>
      <c r="J93" s="233"/>
      <c r="K93" s="233"/>
      <c r="L93" s="234"/>
      <c r="M93" s="233"/>
      <c r="N93" s="233"/>
      <c r="O93" s="233"/>
      <c r="P93" s="233"/>
      <c r="Q93" s="233"/>
      <c r="R93" s="233"/>
      <c r="S93" s="234"/>
    </row>
    <row r="94" spans="2:19" ht="15.5" x14ac:dyDescent="0.35">
      <c r="B94" s="216"/>
      <c r="C94" s="217" t="s">
        <v>636</v>
      </c>
      <c r="D94" s="235">
        <v>1</v>
      </c>
      <c r="E94" s="236">
        <v>25713.514999999999</v>
      </c>
      <c r="F94" s="237"/>
      <c r="G94" s="237">
        <f t="shared" ref="G94:G99" si="23">IF($M94&gt;$U$11,($E94-$U$11)*$W$11,"ERROR")</f>
        <v>2335.7210700000001</v>
      </c>
      <c r="H94" s="237"/>
      <c r="I94" s="237">
        <f t="shared" ref="I94:I99" si="24">$E94*$V$13</f>
        <v>6088.9603520000001</v>
      </c>
      <c r="J94" s="237"/>
      <c r="K94" s="237">
        <f t="shared" ref="K94:K99" si="25">E94+ROUND(G94,0)+ROUND(I94,0)</f>
        <v>34138.514999999999</v>
      </c>
      <c r="L94" s="238"/>
      <c r="M94" s="237">
        <f t="shared" ref="M94:M99" si="26">E94</f>
        <v>25713.514999999999</v>
      </c>
      <c r="N94" s="237"/>
      <c r="O94" s="237"/>
      <c r="P94" s="237">
        <f t="shared" ref="P94:P99" si="27">IF($M94&gt;$U$11,($M94-$U$11)*$W$11,"ERROR")</f>
        <v>2335.7210700000001</v>
      </c>
      <c r="Q94" s="237"/>
      <c r="R94" s="237">
        <f t="shared" ref="R94:R99" si="28">SUM(M94:P94)</f>
        <v>28049.236069999999</v>
      </c>
      <c r="S94" s="223"/>
    </row>
    <row r="95" spans="2:19" ht="15.5" x14ac:dyDescent="0.35">
      <c r="B95" s="241"/>
      <c r="C95" s="242"/>
      <c r="D95" s="235">
        <v>2</v>
      </c>
      <c r="E95" s="236">
        <v>27599.751000000004</v>
      </c>
      <c r="F95" s="237"/>
      <c r="G95" s="237">
        <f t="shared" si="23"/>
        <v>2596.0216380000006</v>
      </c>
      <c r="H95" s="237"/>
      <c r="I95" s="237">
        <f t="shared" si="24"/>
        <v>6535.6210368000011</v>
      </c>
      <c r="J95" s="237"/>
      <c r="K95" s="237">
        <f t="shared" si="25"/>
        <v>36731.751000000004</v>
      </c>
      <c r="L95" s="238"/>
      <c r="M95" s="237">
        <f t="shared" si="26"/>
        <v>27599.751000000004</v>
      </c>
      <c r="N95" s="237"/>
      <c r="O95" s="237"/>
      <c r="P95" s="237">
        <f t="shared" si="27"/>
        <v>2596.0216380000006</v>
      </c>
      <c r="Q95" s="237"/>
      <c r="R95" s="237">
        <f t="shared" si="28"/>
        <v>30195.772638000006</v>
      </c>
      <c r="S95" s="223"/>
    </row>
    <row r="96" spans="2:19" ht="15.5" x14ac:dyDescent="0.35">
      <c r="B96" s="241"/>
      <c r="C96" s="242"/>
      <c r="D96" s="235">
        <v>3</v>
      </c>
      <c r="E96" s="236">
        <v>29663.172000000002</v>
      </c>
      <c r="F96" s="237"/>
      <c r="G96" s="237">
        <f>IF($M96&gt;$U$11,($E96-$U$11)*$W$11,"ERROR")</f>
        <v>2880.7737360000006</v>
      </c>
      <c r="H96" s="237"/>
      <c r="I96" s="237">
        <f t="shared" si="24"/>
        <v>7024.2391296000005</v>
      </c>
      <c r="J96" s="237"/>
      <c r="K96" s="237">
        <f t="shared" si="25"/>
        <v>39568.172000000006</v>
      </c>
      <c r="L96" s="238"/>
      <c r="M96" s="237">
        <f t="shared" si="26"/>
        <v>29663.172000000002</v>
      </c>
      <c r="N96" s="237"/>
      <c r="O96" s="237"/>
      <c r="P96" s="237">
        <f t="shared" si="27"/>
        <v>2880.7737360000006</v>
      </c>
      <c r="Q96" s="237"/>
      <c r="R96" s="237">
        <f t="shared" si="28"/>
        <v>32543.945736000001</v>
      </c>
      <c r="S96" s="223"/>
    </row>
    <row r="97" spans="2:19" ht="15.5" x14ac:dyDescent="0.35">
      <c r="B97" s="241"/>
      <c r="C97" s="242"/>
      <c r="D97" s="235">
        <v>4</v>
      </c>
      <c r="E97" s="236">
        <v>31777.0615</v>
      </c>
      <c r="F97" s="237"/>
      <c r="G97" s="237">
        <f t="shared" si="23"/>
        <v>3172.490487</v>
      </c>
      <c r="H97" s="237"/>
      <c r="I97" s="237">
        <f t="shared" si="24"/>
        <v>7524.8081632000003</v>
      </c>
      <c r="J97" s="237"/>
      <c r="K97" s="237">
        <f t="shared" si="25"/>
        <v>42474.061499999996</v>
      </c>
      <c r="L97" s="238"/>
      <c r="M97" s="237">
        <f t="shared" si="26"/>
        <v>31777.0615</v>
      </c>
      <c r="N97" s="237"/>
      <c r="O97" s="237"/>
      <c r="P97" s="237">
        <f t="shared" si="27"/>
        <v>3172.490487</v>
      </c>
      <c r="Q97" s="237"/>
      <c r="R97" s="237">
        <f t="shared" si="28"/>
        <v>34949.551986999999</v>
      </c>
      <c r="S97" s="223"/>
    </row>
    <row r="98" spans="2:19" ht="15.5" x14ac:dyDescent="0.35">
      <c r="B98" s="241"/>
      <c r="C98" s="242"/>
      <c r="D98" s="235">
        <v>5</v>
      </c>
      <c r="E98" s="347">
        <f>34099.33-((34099.33-E97)*0.4)+E53</f>
        <v>35440.422599999998</v>
      </c>
      <c r="F98" s="237"/>
      <c r="G98" s="237">
        <f t="shared" si="23"/>
        <v>3678.0343188000002</v>
      </c>
      <c r="H98" s="237"/>
      <c r="I98" s="237">
        <f t="shared" si="24"/>
        <v>8392.2920716799999</v>
      </c>
      <c r="J98" s="237"/>
      <c r="K98" s="237">
        <f t="shared" si="25"/>
        <v>47510.422599999998</v>
      </c>
      <c r="L98" s="238"/>
      <c r="M98" s="237">
        <f t="shared" si="26"/>
        <v>35440.422599999998</v>
      </c>
      <c r="N98" s="237"/>
      <c r="O98" s="237"/>
      <c r="P98" s="237">
        <f t="shared" si="27"/>
        <v>3678.0343188000002</v>
      </c>
      <c r="Q98" s="237"/>
      <c r="R98" s="237">
        <f t="shared" si="28"/>
        <v>39118.456918799995</v>
      </c>
      <c r="S98" s="223"/>
    </row>
    <row r="99" spans="2:19" ht="15.5" x14ac:dyDescent="0.35">
      <c r="B99" s="241"/>
      <c r="C99" s="242"/>
      <c r="D99" s="235">
        <v>6</v>
      </c>
      <c r="E99" s="236">
        <v>36960.202499999999</v>
      </c>
      <c r="F99" s="237"/>
      <c r="G99" s="237">
        <f t="shared" si="23"/>
        <v>3887.7639450000001</v>
      </c>
      <c r="H99" s="237"/>
      <c r="I99" s="237">
        <f t="shared" si="24"/>
        <v>8752.1759519999996</v>
      </c>
      <c r="J99" s="237"/>
      <c r="K99" s="237">
        <f t="shared" si="25"/>
        <v>49600.202499999999</v>
      </c>
      <c r="L99" s="238"/>
      <c r="M99" s="237">
        <f t="shared" si="26"/>
        <v>36960.202499999999</v>
      </c>
      <c r="N99" s="237"/>
      <c r="O99" s="237"/>
      <c r="P99" s="237">
        <f t="shared" si="27"/>
        <v>3887.7639450000001</v>
      </c>
      <c r="Q99" s="237"/>
      <c r="R99" s="237">
        <f t="shared" si="28"/>
        <v>40847.966444999998</v>
      </c>
      <c r="S99" s="223"/>
    </row>
    <row r="100" spans="2:19" ht="15.5" x14ac:dyDescent="0.35">
      <c r="B100" s="245" t="s">
        <v>641</v>
      </c>
      <c r="C100" s="242"/>
      <c r="D100" s="235"/>
      <c r="E100" s="236"/>
      <c r="F100" s="237"/>
      <c r="G100" s="237"/>
      <c r="H100" s="237"/>
      <c r="I100" s="237"/>
      <c r="J100" s="237"/>
      <c r="K100" s="237"/>
      <c r="L100" s="238"/>
      <c r="M100" s="246" t="s">
        <v>642</v>
      </c>
      <c r="N100" s="237"/>
      <c r="O100" s="237"/>
      <c r="P100" s="237"/>
      <c r="Q100" s="237"/>
      <c r="R100" s="237"/>
      <c r="S100" s="223"/>
    </row>
    <row r="101" spans="2:19" ht="15.5" x14ac:dyDescent="0.35">
      <c r="B101" s="241"/>
      <c r="C101" s="242" t="s">
        <v>643</v>
      </c>
      <c r="D101" s="235">
        <v>1</v>
      </c>
      <c r="E101" s="236">
        <v>38689.485000000001</v>
      </c>
      <c r="F101" s="237"/>
      <c r="G101" s="237">
        <f>IF($M101&gt;$U$11,($E101-$U$11)*$W$11,"ERROR")</f>
        <v>4126.4049300000006</v>
      </c>
      <c r="H101" s="237"/>
      <c r="I101" s="237">
        <f>$E101*$V$13</f>
        <v>9161.670048</v>
      </c>
      <c r="J101" s="237"/>
      <c r="K101" s="237">
        <f>E101+ROUND(G101,0)+ROUND(I101,0)</f>
        <v>51977.485000000001</v>
      </c>
      <c r="L101" s="238"/>
      <c r="M101" s="237">
        <f>E101</f>
        <v>38689.485000000001</v>
      </c>
      <c r="N101" s="237"/>
      <c r="O101" s="237"/>
      <c r="P101" s="237">
        <f>IF($M101&gt;$U$11,($M101-$U$11)*$W$11,"ERROR")</f>
        <v>4126.4049300000006</v>
      </c>
      <c r="Q101" s="237"/>
      <c r="R101" s="237">
        <f>SUM(M101:P101)</f>
        <v>42815.889930000005</v>
      </c>
      <c r="S101" s="223"/>
    </row>
    <row r="102" spans="2:19" ht="15.5" x14ac:dyDescent="0.35">
      <c r="B102" s="241"/>
      <c r="C102" s="242" t="s">
        <v>645</v>
      </c>
      <c r="D102" s="235">
        <v>2</v>
      </c>
      <c r="E102" s="236">
        <v>40123.875</v>
      </c>
      <c r="F102" s="237"/>
      <c r="G102" s="237">
        <f>IF($M102&gt;$U$11,($E102-$U$11)*$W$11,"ERROR")</f>
        <v>4324.3507500000005</v>
      </c>
      <c r="H102" s="237"/>
      <c r="I102" s="237">
        <f>$E102*$V$13</f>
        <v>9501.3335999999999</v>
      </c>
      <c r="J102" s="237"/>
      <c r="K102" s="237">
        <f>E102+ROUND(G102,0)+ROUND(I102,0)</f>
        <v>53948.875</v>
      </c>
      <c r="L102" s="238"/>
      <c r="M102" s="237">
        <f>E102</f>
        <v>40123.875</v>
      </c>
      <c r="N102" s="237"/>
      <c r="O102" s="237"/>
      <c r="P102" s="237">
        <f>IF($M102&gt;$U$11,($M102-$U$11)*$W$11,"ERROR")</f>
        <v>4324.3507500000005</v>
      </c>
      <c r="Q102" s="237"/>
      <c r="R102" s="237">
        <f>SUM(M102:P102)</f>
        <v>44448.225749999998</v>
      </c>
      <c r="S102" s="223"/>
    </row>
    <row r="103" spans="2:19" ht="15.5" x14ac:dyDescent="0.35">
      <c r="B103" s="241"/>
      <c r="C103" s="242"/>
      <c r="D103" s="235">
        <v>3</v>
      </c>
      <c r="E103" s="236">
        <v>41603.474999999999</v>
      </c>
      <c r="F103" s="237"/>
      <c r="G103" s="237">
        <f>IF($M103&gt;$U$11,($E103-$U$11)*$W$11,"ERROR")</f>
        <v>4528.5355500000005</v>
      </c>
      <c r="H103" s="237"/>
      <c r="I103" s="237">
        <f>$E103*$V$13</f>
        <v>9851.7028800000007</v>
      </c>
      <c r="J103" s="237"/>
      <c r="K103" s="237">
        <f>E103+ROUND(G103,0)+ROUND(I103,0)</f>
        <v>55984.474999999999</v>
      </c>
      <c r="L103" s="238"/>
      <c r="M103" s="237">
        <f>E103</f>
        <v>41603.474999999999</v>
      </c>
      <c r="N103" s="237"/>
      <c r="O103" s="237"/>
      <c r="P103" s="237">
        <f>IF($M103&gt;$U$11,($M103-$U$11)*$W$11,"ERROR")</f>
        <v>4528.5355500000005</v>
      </c>
      <c r="Q103" s="237"/>
      <c r="R103" s="237">
        <f>SUM(M103:P103)</f>
        <v>46132.010549999999</v>
      </c>
      <c r="S103" s="223"/>
    </row>
    <row r="104" spans="2:19" ht="15.5" x14ac:dyDescent="0.35">
      <c r="B104" s="241"/>
      <c r="C104" s="242"/>
      <c r="D104" s="235"/>
      <c r="E104" s="236"/>
      <c r="F104" s="237"/>
      <c r="G104" s="237"/>
      <c r="H104" s="237"/>
      <c r="I104" s="237"/>
      <c r="J104" s="237"/>
      <c r="K104" s="237"/>
      <c r="L104" s="238"/>
      <c r="M104" s="237"/>
      <c r="N104" s="237"/>
      <c r="O104" s="237"/>
      <c r="P104" s="237"/>
      <c r="Q104" s="237"/>
      <c r="R104" s="237"/>
      <c r="S104" s="223"/>
    </row>
    <row r="105" spans="2:19" ht="15.5" x14ac:dyDescent="0.35">
      <c r="B105" s="245" t="s">
        <v>648</v>
      </c>
      <c r="C105" s="242"/>
      <c r="D105" s="235"/>
      <c r="E105" s="236"/>
      <c r="F105" s="237"/>
      <c r="G105" s="237"/>
      <c r="H105" s="237"/>
      <c r="I105" s="237"/>
      <c r="J105" s="237"/>
      <c r="K105" s="237"/>
      <c r="L105" s="238"/>
      <c r="M105" s="246" t="s">
        <v>642</v>
      </c>
      <c r="N105" s="237"/>
      <c r="O105" s="237"/>
      <c r="P105" s="237"/>
      <c r="Q105" s="237"/>
      <c r="R105" s="237"/>
      <c r="S105" s="223"/>
    </row>
    <row r="106" spans="2:19" ht="15.5" x14ac:dyDescent="0.35">
      <c r="B106" s="247"/>
      <c r="C106" s="242"/>
      <c r="D106" s="220"/>
      <c r="E106" s="236"/>
      <c r="F106" s="237"/>
      <c r="G106" s="237"/>
      <c r="H106" s="237"/>
      <c r="I106" s="237"/>
      <c r="J106" s="237"/>
      <c r="K106" s="237"/>
      <c r="L106" s="238"/>
      <c r="M106" s="237"/>
      <c r="N106" s="237"/>
      <c r="O106" s="237"/>
      <c r="P106" s="237"/>
      <c r="Q106" s="237"/>
      <c r="R106" s="237"/>
      <c r="S106" s="223"/>
    </row>
    <row r="107" spans="2:19" ht="15.5" x14ac:dyDescent="0.35">
      <c r="B107" s="248" t="s">
        <v>651</v>
      </c>
      <c r="C107" s="242" t="s">
        <v>652</v>
      </c>
      <c r="D107" s="249">
        <v>1</v>
      </c>
      <c r="E107" s="236">
        <v>18168.255000000001</v>
      </c>
      <c r="F107" s="237"/>
      <c r="G107" s="237">
        <f t="shared" ref="G107:G112" si="29">IF($M107&gt;$U$11,($E107-$U$11)*$W$11,"ERROR")</f>
        <v>1294.4751900000003</v>
      </c>
      <c r="H107" s="237"/>
      <c r="I107" s="237">
        <f t="shared" ref="I107:I112" si="30">$E107*$V$13</f>
        <v>4302.242784</v>
      </c>
      <c r="J107" s="237"/>
      <c r="K107" s="237">
        <f t="shared" ref="K107:K112" si="31">E107+ROUND(G107,0)+ROUND(I107,0)</f>
        <v>23764.255000000001</v>
      </c>
      <c r="L107" s="238"/>
      <c r="M107" s="237">
        <f t="shared" ref="M107:M112" si="32">E107</f>
        <v>18168.255000000001</v>
      </c>
      <c r="N107" s="237"/>
      <c r="O107" s="237"/>
      <c r="P107" s="237">
        <f t="shared" ref="P107:P112" si="33">IF($M107&gt;$U$11,($M107-$U$11)*$W$11,"ERROR")</f>
        <v>1294.4751900000003</v>
      </c>
      <c r="Q107" s="237"/>
      <c r="R107" s="237">
        <f t="shared" ref="R107:R112" si="34">SUM(M107:P107)</f>
        <v>19462.730190000002</v>
      </c>
      <c r="S107" s="223"/>
    </row>
    <row r="108" spans="2:19" ht="15.5" x14ac:dyDescent="0.35">
      <c r="B108" s="248" t="s">
        <v>653</v>
      </c>
      <c r="C108" s="242" t="s">
        <v>654</v>
      </c>
      <c r="D108" s="249">
        <v>2</v>
      </c>
      <c r="E108" s="236">
        <v>20281.822499999998</v>
      </c>
      <c r="F108" s="237"/>
      <c r="G108" s="237">
        <f t="shared" si="29"/>
        <v>1586.1475049999999</v>
      </c>
      <c r="H108" s="237"/>
      <c r="I108" s="237">
        <f t="shared" si="30"/>
        <v>4802.7355680000001</v>
      </c>
      <c r="J108" s="237"/>
      <c r="K108" s="237">
        <f t="shared" si="31"/>
        <v>26670.822499999998</v>
      </c>
      <c r="L108" s="238"/>
      <c r="M108" s="237">
        <f t="shared" si="32"/>
        <v>20281.822499999998</v>
      </c>
      <c r="N108" s="237"/>
      <c r="O108" s="237"/>
      <c r="P108" s="237">
        <f t="shared" si="33"/>
        <v>1586.1475049999999</v>
      </c>
      <c r="Q108" s="237"/>
      <c r="R108" s="237">
        <f t="shared" si="34"/>
        <v>21867.970004999999</v>
      </c>
      <c r="S108" s="223"/>
    </row>
    <row r="109" spans="2:19" ht="15.5" x14ac:dyDescent="0.35">
      <c r="B109" s="250"/>
      <c r="C109" s="242"/>
      <c r="D109" s="249">
        <v>3</v>
      </c>
      <c r="E109" s="236">
        <v>22393.334999999999</v>
      </c>
      <c r="F109" s="237"/>
      <c r="G109" s="237">
        <f t="shared" si="29"/>
        <v>1877.5362299999999</v>
      </c>
      <c r="H109" s="237"/>
      <c r="I109" s="237">
        <f t="shared" si="30"/>
        <v>5302.741728</v>
      </c>
      <c r="J109" s="237"/>
      <c r="K109" s="237">
        <f t="shared" si="31"/>
        <v>29574.334999999999</v>
      </c>
      <c r="L109" s="238"/>
      <c r="M109" s="237">
        <f t="shared" si="32"/>
        <v>22393.334999999999</v>
      </c>
      <c r="N109" s="237"/>
      <c r="O109" s="237"/>
      <c r="P109" s="237">
        <f t="shared" si="33"/>
        <v>1877.5362299999999</v>
      </c>
      <c r="Q109" s="237"/>
      <c r="R109" s="237">
        <f t="shared" si="34"/>
        <v>24270.871230000001</v>
      </c>
      <c r="S109" s="223"/>
    </row>
    <row r="110" spans="2:19" ht="15.5" x14ac:dyDescent="0.35">
      <c r="B110" s="250"/>
      <c r="C110" s="242"/>
      <c r="D110" s="249">
        <v>4</v>
      </c>
      <c r="E110" s="236">
        <v>24506.9025</v>
      </c>
      <c r="F110" s="237"/>
      <c r="G110" s="237">
        <f t="shared" si="29"/>
        <v>2169.2085450000004</v>
      </c>
      <c r="H110" s="237"/>
      <c r="I110" s="237">
        <f t="shared" si="30"/>
        <v>5803.234512</v>
      </c>
      <c r="J110" s="237"/>
      <c r="K110" s="237">
        <f t="shared" si="31"/>
        <v>32478.9025</v>
      </c>
      <c r="L110" s="238"/>
      <c r="M110" s="237">
        <f t="shared" si="32"/>
        <v>24506.9025</v>
      </c>
      <c r="N110" s="237"/>
      <c r="O110" s="237"/>
      <c r="P110" s="237">
        <f t="shared" si="33"/>
        <v>2169.2085450000004</v>
      </c>
      <c r="Q110" s="237"/>
      <c r="R110" s="237">
        <f t="shared" si="34"/>
        <v>26676.111045000001</v>
      </c>
      <c r="S110" s="223"/>
    </row>
    <row r="111" spans="2:19" ht="15.5" x14ac:dyDescent="0.35">
      <c r="B111" s="247"/>
      <c r="C111" s="242"/>
      <c r="D111" s="249">
        <v>5</v>
      </c>
      <c r="E111" s="236">
        <v>26621.497499999998</v>
      </c>
      <c r="F111" s="237"/>
      <c r="G111" s="237">
        <f t="shared" si="29"/>
        <v>2461.0226549999998</v>
      </c>
      <c r="H111" s="237"/>
      <c r="I111" s="237">
        <f t="shared" si="30"/>
        <v>6303.9706079999996</v>
      </c>
      <c r="J111" s="237"/>
      <c r="K111" s="237">
        <f t="shared" si="31"/>
        <v>35386.497499999998</v>
      </c>
      <c r="L111" s="238"/>
      <c r="M111" s="237">
        <f t="shared" si="32"/>
        <v>26621.497499999998</v>
      </c>
      <c r="N111" s="237"/>
      <c r="O111" s="237"/>
      <c r="P111" s="237">
        <f t="shared" si="33"/>
        <v>2461.0226549999998</v>
      </c>
      <c r="Q111" s="237"/>
      <c r="R111" s="237">
        <f t="shared" si="34"/>
        <v>29082.520154999998</v>
      </c>
      <c r="S111" s="223"/>
    </row>
    <row r="112" spans="2:19" ht="15.5" x14ac:dyDescent="0.35">
      <c r="B112" s="247"/>
      <c r="C112" s="242"/>
      <c r="D112" s="249">
        <v>6</v>
      </c>
      <c r="E112" s="236">
        <v>28734.037499999999</v>
      </c>
      <c r="F112" s="237"/>
      <c r="G112" s="237">
        <f t="shared" si="29"/>
        <v>2752.553175</v>
      </c>
      <c r="H112" s="237"/>
      <c r="I112" s="237">
        <f t="shared" si="30"/>
        <v>6804.2200800000001</v>
      </c>
      <c r="J112" s="237"/>
      <c r="K112" s="237">
        <f t="shared" si="31"/>
        <v>38291.037499999999</v>
      </c>
      <c r="L112" s="238"/>
      <c r="M112" s="237">
        <f t="shared" si="32"/>
        <v>28734.037499999999</v>
      </c>
      <c r="N112" s="237"/>
      <c r="O112" s="237"/>
      <c r="P112" s="237">
        <f t="shared" si="33"/>
        <v>2752.553175</v>
      </c>
      <c r="Q112" s="237"/>
      <c r="R112" s="237">
        <f t="shared" si="34"/>
        <v>31486.590674999999</v>
      </c>
      <c r="S112" s="223"/>
    </row>
    <row r="113" spans="2:19" ht="15.5" x14ac:dyDescent="0.35">
      <c r="B113" s="247"/>
      <c r="C113" s="242"/>
      <c r="D113" s="249"/>
      <c r="E113" s="251"/>
      <c r="F113" s="251"/>
      <c r="G113" s="251"/>
      <c r="H113" s="251"/>
      <c r="I113" s="251"/>
      <c r="J113" s="251"/>
      <c r="K113" s="251"/>
      <c r="L113" s="252"/>
      <c r="M113" s="251"/>
      <c r="N113" s="251"/>
      <c r="O113" s="251"/>
      <c r="P113" s="251"/>
      <c r="Q113" s="251"/>
      <c r="R113" s="251"/>
      <c r="S113" s="223"/>
    </row>
    <row r="114" spans="2:19" ht="15.5" x14ac:dyDescent="0.35">
      <c r="B114" s="247"/>
      <c r="C114" s="242"/>
      <c r="D114" s="249"/>
      <c r="E114" s="251"/>
      <c r="F114" s="251"/>
      <c r="G114" s="251"/>
      <c r="H114" s="251"/>
      <c r="I114" s="251"/>
      <c r="J114" s="251"/>
      <c r="K114" s="251"/>
      <c r="L114" s="252"/>
      <c r="M114" s="251"/>
      <c r="N114" s="251"/>
      <c r="O114" s="251"/>
      <c r="P114" s="251"/>
      <c r="Q114" s="251"/>
      <c r="R114" s="251"/>
      <c r="S114" s="223"/>
    </row>
    <row r="115" spans="2:19" ht="16" thickBot="1" x14ac:dyDescent="0.4">
      <c r="B115" s="776"/>
      <c r="C115" s="777"/>
      <c r="D115" s="778"/>
      <c r="E115" s="779"/>
      <c r="F115" s="779"/>
      <c r="G115" s="779"/>
      <c r="H115" s="779"/>
      <c r="I115" s="779"/>
      <c r="J115" s="779"/>
      <c r="K115" s="779"/>
      <c r="L115" s="780"/>
      <c r="M115" s="781"/>
      <c r="N115" s="779"/>
      <c r="O115" s="779"/>
      <c r="P115" s="779"/>
      <c r="Q115" s="779"/>
      <c r="R115" s="779"/>
      <c r="S115" s="775"/>
    </row>
    <row r="118" spans="2:19" ht="15.5" x14ac:dyDescent="0.35">
      <c r="B118" s="216"/>
      <c r="C118" s="217"/>
      <c r="D118" s="217"/>
      <c r="E118" s="218" t="s">
        <v>629</v>
      </c>
      <c r="F118" s="219"/>
      <c r="G118" s="218"/>
      <c r="H118" s="219"/>
      <c r="I118" s="218"/>
      <c r="J118" s="219"/>
      <c r="K118" s="218"/>
      <c r="L118" s="220"/>
      <c r="M118" s="221" t="s">
        <v>630</v>
      </c>
      <c r="N118" s="222"/>
      <c r="O118" s="222"/>
      <c r="P118" s="222"/>
      <c r="Q118" s="222"/>
      <c r="R118" s="222"/>
      <c r="S118" s="223"/>
    </row>
    <row r="119" spans="2:19" ht="15.5" x14ac:dyDescent="0.35">
      <c r="B119" s="216"/>
      <c r="C119" s="224" t="s">
        <v>631</v>
      </c>
      <c r="D119" s="224" t="s">
        <v>632</v>
      </c>
      <c r="E119" s="225" t="s">
        <v>633</v>
      </c>
      <c r="F119" s="224"/>
      <c r="G119" s="226" t="s">
        <v>634</v>
      </c>
      <c r="H119" s="224"/>
      <c r="I119" s="225" t="s">
        <v>635</v>
      </c>
      <c r="J119" s="224"/>
      <c r="K119" s="225" t="s">
        <v>141</v>
      </c>
      <c r="L119" s="227"/>
      <c r="M119" s="228" t="s">
        <v>633</v>
      </c>
      <c r="N119" s="224"/>
      <c r="O119" s="224"/>
      <c r="P119" s="226" t="s">
        <v>634</v>
      </c>
      <c r="Q119" s="224"/>
      <c r="R119" s="229" t="s">
        <v>141</v>
      </c>
      <c r="S119" s="223"/>
    </row>
    <row r="120" spans="2:19" ht="16" thickBot="1" x14ac:dyDescent="0.4">
      <c r="B120" s="772"/>
      <c r="C120" s="773"/>
      <c r="D120" s="773"/>
      <c r="E120" s="773"/>
      <c r="F120" s="773"/>
      <c r="G120" s="773"/>
      <c r="H120" s="773"/>
      <c r="I120" s="773"/>
      <c r="J120" s="773"/>
      <c r="K120" s="773"/>
      <c r="L120" s="773"/>
      <c r="M120" s="774"/>
      <c r="N120" s="773"/>
      <c r="O120" s="773"/>
      <c r="P120" s="773"/>
      <c r="Q120" s="773"/>
      <c r="R120" s="773"/>
      <c r="S120" s="775"/>
    </row>
    <row r="121" spans="2:19" ht="15.5" x14ac:dyDescent="0.35">
      <c r="B121" s="232"/>
      <c r="C121" s="233"/>
      <c r="D121" s="233"/>
      <c r="E121" s="233"/>
      <c r="F121" s="233"/>
      <c r="G121" s="233"/>
      <c r="H121" s="233"/>
      <c r="I121" s="233"/>
      <c r="J121" s="233"/>
      <c r="K121" s="233"/>
      <c r="L121" s="234"/>
      <c r="M121" s="233"/>
      <c r="N121" s="233"/>
      <c r="O121" s="233"/>
      <c r="P121" s="233"/>
      <c r="Q121" s="233"/>
      <c r="R121" s="233"/>
      <c r="S121" s="234"/>
    </row>
    <row r="122" spans="2:19" ht="15.5" x14ac:dyDescent="0.35">
      <c r="B122" s="216"/>
      <c r="C122" s="217" t="s">
        <v>636</v>
      </c>
      <c r="D122" s="235">
        <v>1</v>
      </c>
      <c r="E122" s="236">
        <v>25713.514999999999</v>
      </c>
      <c r="F122" s="237"/>
      <c r="G122" s="237">
        <f t="shared" ref="G122:G127" si="35">IF($M122&gt;$U$11,($E122-$U$11)*$W$11,"ERROR")</f>
        <v>2335.7210700000001</v>
      </c>
      <c r="H122" s="237"/>
      <c r="I122" s="237">
        <f t="shared" ref="I122:I127" si="36">$E122*$V$13</f>
        <v>6088.9603520000001</v>
      </c>
      <c r="J122" s="237"/>
      <c r="K122" s="237">
        <f t="shared" ref="K122:K127" si="37">E122+ROUND(G122,0)+ROUND(I122,0)</f>
        <v>34138.514999999999</v>
      </c>
      <c r="L122" s="238"/>
      <c r="M122" s="237">
        <f t="shared" ref="M122:M127" si="38">E122</f>
        <v>25713.514999999999</v>
      </c>
      <c r="N122" s="237"/>
      <c r="O122" s="237"/>
      <c r="P122" s="237">
        <f t="shared" ref="P122:P127" si="39">IF($M122&gt;$U$11,($M122-$U$11)*$W$11,"ERROR")</f>
        <v>2335.7210700000001</v>
      </c>
      <c r="Q122" s="237"/>
      <c r="R122" s="237">
        <f t="shared" ref="R122:R127" si="40">SUM(M122:P122)</f>
        <v>28049.236069999999</v>
      </c>
      <c r="S122" s="223"/>
    </row>
    <row r="123" spans="2:19" ht="15.5" x14ac:dyDescent="0.35">
      <c r="B123" s="241"/>
      <c r="C123" s="242"/>
      <c r="D123" s="235">
        <v>2</v>
      </c>
      <c r="E123" s="236">
        <v>27599.751000000004</v>
      </c>
      <c r="F123" s="237"/>
      <c r="G123" s="237">
        <f t="shared" si="35"/>
        <v>2596.0216380000006</v>
      </c>
      <c r="H123" s="237"/>
      <c r="I123" s="237">
        <f t="shared" si="36"/>
        <v>6535.6210368000011</v>
      </c>
      <c r="J123" s="237"/>
      <c r="K123" s="237">
        <f t="shared" si="37"/>
        <v>36731.751000000004</v>
      </c>
      <c r="L123" s="238"/>
      <c r="M123" s="237">
        <f t="shared" si="38"/>
        <v>27599.751000000004</v>
      </c>
      <c r="N123" s="237"/>
      <c r="O123" s="237"/>
      <c r="P123" s="237">
        <f t="shared" si="39"/>
        <v>2596.0216380000006</v>
      </c>
      <c r="Q123" s="237"/>
      <c r="R123" s="237">
        <f t="shared" si="40"/>
        <v>30195.772638000006</v>
      </c>
      <c r="S123" s="223"/>
    </row>
    <row r="124" spans="2:19" ht="15.5" x14ac:dyDescent="0.35">
      <c r="B124" s="241"/>
      <c r="C124" s="242"/>
      <c r="D124" s="235">
        <v>3</v>
      </c>
      <c r="E124" s="236">
        <v>29663.172000000002</v>
      </c>
      <c r="F124" s="237"/>
      <c r="G124" s="237">
        <f>IF($M124&gt;$U$11,($E124-$U$11)*$W$11,"ERROR")</f>
        <v>2880.7737360000006</v>
      </c>
      <c r="H124" s="237"/>
      <c r="I124" s="237">
        <f t="shared" si="36"/>
        <v>7024.2391296000005</v>
      </c>
      <c r="J124" s="237"/>
      <c r="K124" s="237">
        <f t="shared" si="37"/>
        <v>39568.172000000006</v>
      </c>
      <c r="L124" s="238"/>
      <c r="M124" s="237">
        <f t="shared" si="38"/>
        <v>29663.172000000002</v>
      </c>
      <c r="N124" s="237"/>
      <c r="O124" s="237"/>
      <c r="P124" s="237">
        <f t="shared" si="39"/>
        <v>2880.7737360000006</v>
      </c>
      <c r="Q124" s="237"/>
      <c r="R124" s="237">
        <f t="shared" si="40"/>
        <v>32543.945736000001</v>
      </c>
      <c r="S124" s="223"/>
    </row>
    <row r="125" spans="2:19" ht="15.5" x14ac:dyDescent="0.35">
      <c r="B125" s="241"/>
      <c r="C125" s="242"/>
      <c r="D125" s="235">
        <v>4</v>
      </c>
      <c r="E125" s="236">
        <v>31777.0615</v>
      </c>
      <c r="F125" s="237"/>
      <c r="G125" s="237">
        <f t="shared" si="35"/>
        <v>3172.490487</v>
      </c>
      <c r="H125" s="237"/>
      <c r="I125" s="237">
        <f t="shared" si="36"/>
        <v>7524.8081632000003</v>
      </c>
      <c r="J125" s="237"/>
      <c r="K125" s="237">
        <f t="shared" si="37"/>
        <v>42474.061499999996</v>
      </c>
      <c r="L125" s="238"/>
      <c r="M125" s="237">
        <f t="shared" si="38"/>
        <v>31777.0615</v>
      </c>
      <c r="N125" s="237"/>
      <c r="O125" s="237"/>
      <c r="P125" s="237">
        <f t="shared" si="39"/>
        <v>3172.490487</v>
      </c>
      <c r="Q125" s="237"/>
      <c r="R125" s="237">
        <f t="shared" si="40"/>
        <v>34949.551986999999</v>
      </c>
      <c r="S125" s="223"/>
    </row>
    <row r="126" spans="2:19" ht="15.5" x14ac:dyDescent="0.35">
      <c r="B126" s="241"/>
      <c r="C126" s="242"/>
      <c r="D126" s="235">
        <v>5</v>
      </c>
      <c r="E126" s="347">
        <f>34099.33-((34099.33-$E$125)*0.29)+$E$53</f>
        <v>35695.872134999998</v>
      </c>
      <c r="F126" s="237"/>
      <c r="G126" s="237">
        <f t="shared" si="35"/>
        <v>3713.28635463</v>
      </c>
      <c r="H126" s="237"/>
      <c r="I126" s="237">
        <f t="shared" si="36"/>
        <v>8452.7825215680004</v>
      </c>
      <c r="J126" s="237"/>
      <c r="K126" s="237">
        <f t="shared" si="37"/>
        <v>47861.872134999998</v>
      </c>
      <c r="L126" s="238"/>
      <c r="M126" s="237">
        <f t="shared" si="38"/>
        <v>35695.872134999998</v>
      </c>
      <c r="N126" s="237"/>
      <c r="O126" s="237"/>
      <c r="P126" s="237">
        <f t="shared" si="39"/>
        <v>3713.28635463</v>
      </c>
      <c r="Q126" s="237"/>
      <c r="R126" s="237">
        <f t="shared" si="40"/>
        <v>39409.158489629997</v>
      </c>
      <c r="S126" s="223"/>
    </row>
    <row r="127" spans="2:19" ht="15.5" x14ac:dyDescent="0.35">
      <c r="B127" s="241"/>
      <c r="C127" s="242"/>
      <c r="D127" s="235">
        <v>6</v>
      </c>
      <c r="E127" s="236">
        <v>36960.202499999999</v>
      </c>
      <c r="F127" s="237"/>
      <c r="G127" s="237">
        <f t="shared" si="35"/>
        <v>3887.7639450000001</v>
      </c>
      <c r="H127" s="237"/>
      <c r="I127" s="237">
        <f t="shared" si="36"/>
        <v>8752.1759519999996</v>
      </c>
      <c r="J127" s="237"/>
      <c r="K127" s="237">
        <f t="shared" si="37"/>
        <v>49600.202499999999</v>
      </c>
      <c r="L127" s="238"/>
      <c r="M127" s="237">
        <f t="shared" si="38"/>
        <v>36960.202499999999</v>
      </c>
      <c r="N127" s="237"/>
      <c r="O127" s="237"/>
      <c r="P127" s="237">
        <f t="shared" si="39"/>
        <v>3887.7639450000001</v>
      </c>
      <c r="Q127" s="237"/>
      <c r="R127" s="237">
        <f t="shared" si="40"/>
        <v>40847.966444999998</v>
      </c>
      <c r="S127" s="223"/>
    </row>
    <row r="128" spans="2:19" ht="15.5" x14ac:dyDescent="0.35">
      <c r="B128" s="245" t="s">
        <v>641</v>
      </c>
      <c r="C128" s="242"/>
      <c r="D128" s="235"/>
      <c r="E128" s="236"/>
      <c r="F128" s="237"/>
      <c r="G128" s="237"/>
      <c r="H128" s="237"/>
      <c r="I128" s="237"/>
      <c r="J128" s="237"/>
      <c r="K128" s="237"/>
      <c r="L128" s="238"/>
      <c r="M128" s="246" t="s">
        <v>642</v>
      </c>
      <c r="N128" s="237"/>
      <c r="O128" s="237"/>
      <c r="P128" s="237"/>
      <c r="Q128" s="237"/>
      <c r="R128" s="237"/>
      <c r="S128" s="223"/>
    </row>
    <row r="129" spans="2:19" ht="15.5" x14ac:dyDescent="0.35">
      <c r="B129" s="241"/>
      <c r="C129" s="242" t="s">
        <v>643</v>
      </c>
      <c r="D129" s="235">
        <v>1</v>
      </c>
      <c r="E129" s="236">
        <v>38689.485000000001</v>
      </c>
      <c r="F129" s="237"/>
      <c r="G129" s="237">
        <f>IF($M129&gt;$U$11,($E129-$U$11)*$W$11,"ERROR")</f>
        <v>4126.4049300000006</v>
      </c>
      <c r="H129" s="237"/>
      <c r="I129" s="237">
        <f>$E129*$V$13</f>
        <v>9161.670048</v>
      </c>
      <c r="J129" s="237"/>
      <c r="K129" s="237">
        <f>E129+ROUND(G129,0)+ROUND(I129,0)</f>
        <v>51977.485000000001</v>
      </c>
      <c r="L129" s="238"/>
      <c r="M129" s="237">
        <f>E129</f>
        <v>38689.485000000001</v>
      </c>
      <c r="N129" s="237"/>
      <c r="O129" s="237"/>
      <c r="P129" s="237">
        <f>IF($M129&gt;$U$11,($M129-$U$11)*$W$11,"ERROR")</f>
        <v>4126.4049300000006</v>
      </c>
      <c r="Q129" s="237"/>
      <c r="R129" s="237">
        <f>SUM(M129:P129)</f>
        <v>42815.889930000005</v>
      </c>
      <c r="S129" s="223"/>
    </row>
    <row r="130" spans="2:19" ht="15.5" x14ac:dyDescent="0.35">
      <c r="B130" s="241"/>
      <c r="C130" s="242" t="s">
        <v>645</v>
      </c>
      <c r="D130" s="235">
        <v>2</v>
      </c>
      <c r="E130" s="236">
        <v>40123.875</v>
      </c>
      <c r="F130" s="237"/>
      <c r="G130" s="237">
        <f>IF($M130&gt;$U$11,($E130-$U$11)*$W$11,"ERROR")</f>
        <v>4324.3507500000005</v>
      </c>
      <c r="H130" s="237"/>
      <c r="I130" s="237">
        <f>$E130*$V$13</f>
        <v>9501.3335999999999</v>
      </c>
      <c r="J130" s="237"/>
      <c r="K130" s="237">
        <f>E130+ROUND(G130,0)+ROUND(I130,0)</f>
        <v>53948.875</v>
      </c>
      <c r="L130" s="238"/>
      <c r="M130" s="237">
        <f>E130</f>
        <v>40123.875</v>
      </c>
      <c r="N130" s="237"/>
      <c r="O130" s="237"/>
      <c r="P130" s="237">
        <f>IF($M130&gt;$U$11,($M130-$U$11)*$W$11,"ERROR")</f>
        <v>4324.3507500000005</v>
      </c>
      <c r="Q130" s="237"/>
      <c r="R130" s="237">
        <f>SUM(M130:P130)</f>
        <v>44448.225749999998</v>
      </c>
      <c r="S130" s="223"/>
    </row>
    <row r="131" spans="2:19" ht="15.5" x14ac:dyDescent="0.35">
      <c r="B131" s="241"/>
      <c r="C131" s="242"/>
      <c r="D131" s="235">
        <v>3</v>
      </c>
      <c r="E131" s="236">
        <v>41603.474999999999</v>
      </c>
      <c r="F131" s="237"/>
      <c r="G131" s="237">
        <f>IF($M131&gt;$U$11,($E131-$U$11)*$W$11,"ERROR")</f>
        <v>4528.5355500000005</v>
      </c>
      <c r="H131" s="237"/>
      <c r="I131" s="237">
        <f>$E131*$V$13</f>
        <v>9851.7028800000007</v>
      </c>
      <c r="J131" s="237"/>
      <c r="K131" s="237">
        <f>E131+ROUND(G131,0)+ROUND(I131,0)</f>
        <v>55984.474999999999</v>
      </c>
      <c r="L131" s="238"/>
      <c r="M131" s="237">
        <f>E131</f>
        <v>41603.474999999999</v>
      </c>
      <c r="N131" s="237"/>
      <c r="O131" s="237"/>
      <c r="P131" s="237">
        <f>IF($M131&gt;$U$11,($M131-$U$11)*$W$11,"ERROR")</f>
        <v>4528.5355500000005</v>
      </c>
      <c r="Q131" s="237"/>
      <c r="R131" s="237">
        <f>SUM(M131:P131)</f>
        <v>46132.010549999999</v>
      </c>
      <c r="S131" s="223"/>
    </row>
    <row r="132" spans="2:19" ht="15.5" x14ac:dyDescent="0.35">
      <c r="B132" s="241"/>
      <c r="C132" s="242"/>
      <c r="D132" s="235"/>
      <c r="E132" s="236"/>
      <c r="F132" s="237"/>
      <c r="G132" s="237"/>
      <c r="H132" s="237"/>
      <c r="I132" s="237"/>
      <c r="J132" s="237"/>
      <c r="K132" s="237"/>
      <c r="L132" s="238"/>
      <c r="M132" s="237"/>
      <c r="N132" s="237"/>
      <c r="O132" s="237"/>
      <c r="P132" s="237"/>
      <c r="Q132" s="237"/>
      <c r="R132" s="237"/>
      <c r="S132" s="223"/>
    </row>
    <row r="133" spans="2:19" ht="15.5" x14ac:dyDescent="0.35">
      <c r="B133" s="245" t="s">
        <v>648</v>
      </c>
      <c r="C133" s="242"/>
      <c r="D133" s="235"/>
      <c r="E133" s="236"/>
      <c r="F133" s="237"/>
      <c r="G133" s="237"/>
      <c r="H133" s="237"/>
      <c r="I133" s="237"/>
      <c r="J133" s="237"/>
      <c r="K133" s="237"/>
      <c r="L133" s="238"/>
      <c r="M133" s="246" t="s">
        <v>642</v>
      </c>
      <c r="N133" s="237"/>
      <c r="O133" s="237"/>
      <c r="P133" s="237"/>
      <c r="Q133" s="237"/>
      <c r="R133" s="237"/>
      <c r="S133" s="223"/>
    </row>
    <row r="134" spans="2:19" ht="15.5" x14ac:dyDescent="0.35">
      <c r="B134" s="247"/>
      <c r="C134" s="242"/>
      <c r="D134" s="220"/>
      <c r="E134" s="236"/>
      <c r="F134" s="237"/>
      <c r="G134" s="237"/>
      <c r="H134" s="237"/>
      <c r="I134" s="237"/>
      <c r="J134" s="237"/>
      <c r="K134" s="237"/>
      <c r="L134" s="238"/>
      <c r="M134" s="237"/>
      <c r="N134" s="237"/>
      <c r="O134" s="237"/>
      <c r="P134" s="237"/>
      <c r="Q134" s="237"/>
      <c r="R134" s="237"/>
      <c r="S134" s="223"/>
    </row>
    <row r="135" spans="2:19" ht="15.5" x14ac:dyDescent="0.35">
      <c r="B135" s="248" t="s">
        <v>651</v>
      </c>
      <c r="C135" s="242" t="s">
        <v>652</v>
      </c>
      <c r="D135" s="249">
        <v>1</v>
      </c>
      <c r="E135" s="236">
        <v>18168.255000000001</v>
      </c>
      <c r="F135" s="237"/>
      <c r="G135" s="237">
        <f t="shared" ref="G135:G140" si="41">IF($M135&gt;$U$11,($E135-$U$11)*$W$11,"ERROR")</f>
        <v>1294.4751900000003</v>
      </c>
      <c r="H135" s="237"/>
      <c r="I135" s="237">
        <f t="shared" ref="I135:I140" si="42">$E135*$V$13</f>
        <v>4302.242784</v>
      </c>
      <c r="J135" s="237"/>
      <c r="K135" s="237">
        <f t="shared" ref="K135:K140" si="43">E135+ROUND(G135,0)+ROUND(I135,0)</f>
        <v>23764.255000000001</v>
      </c>
      <c r="L135" s="238"/>
      <c r="M135" s="237">
        <f t="shared" ref="M135:M140" si="44">E135</f>
        <v>18168.255000000001</v>
      </c>
      <c r="N135" s="237"/>
      <c r="O135" s="237"/>
      <c r="P135" s="237">
        <f t="shared" ref="P135:P140" si="45">IF($M135&gt;$U$11,($M135-$U$11)*$W$11,"ERROR")</f>
        <v>1294.4751900000003</v>
      </c>
      <c r="Q135" s="237"/>
      <c r="R135" s="237">
        <f t="shared" ref="R135:R140" si="46">SUM(M135:P135)</f>
        <v>19462.730190000002</v>
      </c>
      <c r="S135" s="223"/>
    </row>
    <row r="136" spans="2:19" ht="15.5" x14ac:dyDescent="0.35">
      <c r="B136" s="248" t="s">
        <v>653</v>
      </c>
      <c r="C136" s="242" t="s">
        <v>654</v>
      </c>
      <c r="D136" s="249">
        <v>2</v>
      </c>
      <c r="E136" s="236">
        <v>20281.822499999998</v>
      </c>
      <c r="F136" s="237"/>
      <c r="G136" s="237">
        <f t="shared" si="41"/>
        <v>1586.1475049999999</v>
      </c>
      <c r="H136" s="237"/>
      <c r="I136" s="237">
        <f t="shared" si="42"/>
        <v>4802.7355680000001</v>
      </c>
      <c r="J136" s="237"/>
      <c r="K136" s="237">
        <f t="shared" si="43"/>
        <v>26670.822499999998</v>
      </c>
      <c r="L136" s="238"/>
      <c r="M136" s="237">
        <f t="shared" si="44"/>
        <v>20281.822499999998</v>
      </c>
      <c r="N136" s="237"/>
      <c r="O136" s="237"/>
      <c r="P136" s="237">
        <f t="shared" si="45"/>
        <v>1586.1475049999999</v>
      </c>
      <c r="Q136" s="237"/>
      <c r="R136" s="237">
        <f t="shared" si="46"/>
        <v>21867.970004999999</v>
      </c>
      <c r="S136" s="223"/>
    </row>
    <row r="137" spans="2:19" ht="15.5" x14ac:dyDescent="0.35">
      <c r="B137" s="250"/>
      <c r="C137" s="242"/>
      <c r="D137" s="249">
        <v>3</v>
      </c>
      <c r="E137" s="236">
        <v>22393.334999999999</v>
      </c>
      <c r="F137" s="237"/>
      <c r="G137" s="237">
        <f t="shared" si="41"/>
        <v>1877.5362299999999</v>
      </c>
      <c r="H137" s="237"/>
      <c r="I137" s="237">
        <f t="shared" si="42"/>
        <v>5302.741728</v>
      </c>
      <c r="J137" s="237"/>
      <c r="K137" s="237">
        <f t="shared" si="43"/>
        <v>29574.334999999999</v>
      </c>
      <c r="L137" s="238"/>
      <c r="M137" s="237">
        <f t="shared" si="44"/>
        <v>22393.334999999999</v>
      </c>
      <c r="N137" s="237"/>
      <c r="O137" s="237"/>
      <c r="P137" s="237">
        <f t="shared" si="45"/>
        <v>1877.5362299999999</v>
      </c>
      <c r="Q137" s="237"/>
      <c r="R137" s="237">
        <f t="shared" si="46"/>
        <v>24270.871230000001</v>
      </c>
      <c r="S137" s="223"/>
    </row>
    <row r="138" spans="2:19" ht="15.5" x14ac:dyDescent="0.35">
      <c r="B138" s="250"/>
      <c r="C138" s="242"/>
      <c r="D138" s="249">
        <v>4</v>
      </c>
      <c r="E138" s="236">
        <v>24506.9025</v>
      </c>
      <c r="F138" s="237"/>
      <c r="G138" s="237">
        <f t="shared" si="41"/>
        <v>2169.2085450000004</v>
      </c>
      <c r="H138" s="237"/>
      <c r="I138" s="237">
        <f t="shared" si="42"/>
        <v>5803.234512</v>
      </c>
      <c r="J138" s="237"/>
      <c r="K138" s="237">
        <f t="shared" si="43"/>
        <v>32478.9025</v>
      </c>
      <c r="L138" s="238"/>
      <c r="M138" s="237">
        <f t="shared" si="44"/>
        <v>24506.9025</v>
      </c>
      <c r="N138" s="237"/>
      <c r="O138" s="237"/>
      <c r="P138" s="237">
        <f t="shared" si="45"/>
        <v>2169.2085450000004</v>
      </c>
      <c r="Q138" s="237"/>
      <c r="R138" s="237">
        <f t="shared" si="46"/>
        <v>26676.111045000001</v>
      </c>
      <c r="S138" s="223"/>
    </row>
    <row r="139" spans="2:19" ht="15.5" x14ac:dyDescent="0.35">
      <c r="B139" s="247"/>
      <c r="C139" s="242"/>
      <c r="D139" s="249">
        <v>5</v>
      </c>
      <c r="E139" s="236">
        <v>26621.497499999998</v>
      </c>
      <c r="F139" s="237"/>
      <c r="G139" s="237">
        <f t="shared" si="41"/>
        <v>2461.0226549999998</v>
      </c>
      <c r="H139" s="237"/>
      <c r="I139" s="237">
        <f t="shared" si="42"/>
        <v>6303.9706079999996</v>
      </c>
      <c r="J139" s="237"/>
      <c r="K139" s="237">
        <f t="shared" si="43"/>
        <v>35386.497499999998</v>
      </c>
      <c r="L139" s="238"/>
      <c r="M139" s="237">
        <f t="shared" si="44"/>
        <v>26621.497499999998</v>
      </c>
      <c r="N139" s="237"/>
      <c r="O139" s="237"/>
      <c r="P139" s="237">
        <f t="shared" si="45"/>
        <v>2461.0226549999998</v>
      </c>
      <c r="Q139" s="237"/>
      <c r="R139" s="237">
        <f t="shared" si="46"/>
        <v>29082.520154999998</v>
      </c>
      <c r="S139" s="223"/>
    </row>
    <row r="140" spans="2:19" ht="15.5" x14ac:dyDescent="0.35">
      <c r="B140" s="247"/>
      <c r="C140" s="242"/>
      <c r="D140" s="249">
        <v>6</v>
      </c>
      <c r="E140" s="236">
        <v>28734.037499999999</v>
      </c>
      <c r="F140" s="237"/>
      <c r="G140" s="237">
        <f t="shared" si="41"/>
        <v>2752.553175</v>
      </c>
      <c r="H140" s="237"/>
      <c r="I140" s="237">
        <f t="shared" si="42"/>
        <v>6804.2200800000001</v>
      </c>
      <c r="J140" s="237"/>
      <c r="K140" s="237">
        <f t="shared" si="43"/>
        <v>38291.037499999999</v>
      </c>
      <c r="L140" s="238"/>
      <c r="M140" s="237">
        <f t="shared" si="44"/>
        <v>28734.037499999999</v>
      </c>
      <c r="N140" s="237"/>
      <c r="O140" s="237"/>
      <c r="P140" s="237">
        <f t="shared" si="45"/>
        <v>2752.553175</v>
      </c>
      <c r="Q140" s="237"/>
      <c r="R140" s="237">
        <f t="shared" si="46"/>
        <v>31486.590674999999</v>
      </c>
      <c r="S140" s="223"/>
    </row>
    <row r="141" spans="2:19" ht="15.5" x14ac:dyDescent="0.35">
      <c r="B141" s="247"/>
      <c r="C141" s="242"/>
      <c r="D141" s="249"/>
      <c r="E141" s="251"/>
      <c r="F141" s="251"/>
      <c r="G141" s="251"/>
      <c r="H141" s="251"/>
      <c r="I141" s="251"/>
      <c r="J141" s="251"/>
      <c r="K141" s="251"/>
      <c r="L141" s="252"/>
      <c r="M141" s="251"/>
      <c r="N141" s="251"/>
      <c r="O141" s="251"/>
      <c r="P141" s="251"/>
      <c r="Q141" s="251"/>
      <c r="R141" s="251"/>
      <c r="S141" s="223"/>
    </row>
    <row r="142" spans="2:19" ht="15.5" x14ac:dyDescent="0.35">
      <c r="B142" s="247"/>
      <c r="C142" s="242"/>
      <c r="D142" s="249"/>
      <c r="E142" s="251"/>
      <c r="F142" s="251"/>
      <c r="G142" s="251"/>
      <c r="H142" s="251"/>
      <c r="I142" s="251"/>
      <c r="J142" s="251"/>
      <c r="K142" s="251"/>
      <c r="L142" s="252"/>
      <c r="M142" s="251"/>
      <c r="N142" s="251"/>
      <c r="O142" s="251"/>
      <c r="P142" s="251"/>
      <c r="Q142" s="251"/>
      <c r="R142" s="251"/>
      <c r="S142" s="223"/>
    </row>
    <row r="143" spans="2:19" ht="16" thickBot="1" x14ac:dyDescent="0.4">
      <c r="B143" s="776"/>
      <c r="C143" s="777"/>
      <c r="D143" s="778"/>
      <c r="E143" s="779"/>
      <c r="F143" s="779"/>
      <c r="G143" s="779"/>
      <c r="H143" s="779"/>
      <c r="I143" s="779"/>
      <c r="J143" s="779"/>
      <c r="K143" s="779"/>
      <c r="L143" s="780"/>
      <c r="M143" s="781"/>
      <c r="N143" s="779"/>
      <c r="O143" s="779"/>
      <c r="P143" s="779"/>
      <c r="Q143" s="779"/>
      <c r="R143" s="779"/>
      <c r="S143" s="775"/>
    </row>
    <row r="145" spans="2:24" ht="15.5" x14ac:dyDescent="0.35">
      <c r="B145" s="216"/>
      <c r="C145" s="217"/>
      <c r="D145" s="217"/>
      <c r="E145" s="218" t="s">
        <v>629</v>
      </c>
      <c r="F145" s="219"/>
      <c r="G145" s="218"/>
      <c r="H145" s="219"/>
      <c r="I145" s="218"/>
      <c r="J145" s="219"/>
      <c r="K145" s="218"/>
      <c r="L145" s="220"/>
      <c r="M145" s="221" t="s">
        <v>630</v>
      </c>
      <c r="N145" s="222"/>
      <c r="O145" s="222"/>
      <c r="P145" s="222"/>
      <c r="Q145" s="222"/>
      <c r="R145" s="222"/>
      <c r="S145" s="223"/>
    </row>
    <row r="146" spans="2:24" ht="15.5" x14ac:dyDescent="0.35">
      <c r="B146" s="216"/>
      <c r="C146" s="224" t="s">
        <v>631</v>
      </c>
      <c r="D146" s="224" t="s">
        <v>632</v>
      </c>
      <c r="E146" s="225" t="s">
        <v>633</v>
      </c>
      <c r="F146" s="224"/>
      <c r="G146" s="226" t="s">
        <v>634</v>
      </c>
      <c r="H146" s="224"/>
      <c r="I146" s="225" t="s">
        <v>635</v>
      </c>
      <c r="J146" s="224"/>
      <c r="K146" s="225" t="s">
        <v>141</v>
      </c>
      <c r="L146" s="227"/>
      <c r="M146" s="228" t="s">
        <v>633</v>
      </c>
      <c r="N146" s="224"/>
      <c r="O146" s="224"/>
      <c r="P146" s="226" t="s">
        <v>634</v>
      </c>
      <c r="Q146" s="224"/>
      <c r="R146" s="229" t="s">
        <v>141</v>
      </c>
      <c r="S146" s="223"/>
    </row>
    <row r="147" spans="2:24" ht="16" thickBot="1" x14ac:dyDescent="0.4">
      <c r="B147" s="772"/>
      <c r="C147" s="773"/>
      <c r="D147" s="773"/>
      <c r="E147" s="773"/>
      <c r="F147" s="773"/>
      <c r="G147" s="773"/>
      <c r="H147" s="773"/>
      <c r="I147" s="773"/>
      <c r="J147" s="773"/>
      <c r="K147" s="773"/>
      <c r="L147" s="773"/>
      <c r="M147" s="774"/>
      <c r="N147" s="773"/>
      <c r="O147" s="773"/>
      <c r="P147" s="773"/>
      <c r="Q147" s="773"/>
      <c r="R147" s="773"/>
      <c r="S147" s="775"/>
    </row>
    <row r="148" spans="2:24" ht="15.5" x14ac:dyDescent="0.35">
      <c r="B148" s="232"/>
      <c r="C148" s="233"/>
      <c r="D148" s="233"/>
      <c r="E148" s="233"/>
      <c r="F148" s="233"/>
      <c r="G148" s="233"/>
      <c r="H148" s="233"/>
      <c r="I148" s="233"/>
      <c r="J148" s="233"/>
      <c r="K148" s="233"/>
      <c r="L148" s="234"/>
      <c r="M148" s="233"/>
      <c r="N148" s="233"/>
      <c r="O148" s="233"/>
      <c r="P148" s="233"/>
      <c r="Q148" s="233"/>
      <c r="R148" s="233"/>
      <c r="S148" s="234"/>
    </row>
    <row r="149" spans="2:24" ht="15.5" x14ac:dyDescent="0.35">
      <c r="B149" s="216"/>
      <c r="C149" s="217" t="s">
        <v>636</v>
      </c>
      <c r="D149" s="235">
        <v>1</v>
      </c>
      <c r="E149" s="236">
        <v>25713.514999999999</v>
      </c>
      <c r="F149" s="237"/>
      <c r="G149" s="237">
        <f t="shared" ref="G149:G154" si="47">IF($M149&gt;$U$11,($E149-$U$11)*$W$11,"ERROR")</f>
        <v>2335.7210700000001</v>
      </c>
      <c r="H149" s="237"/>
      <c r="I149" s="237">
        <f t="shared" ref="I149:I154" si="48">$E149*$V$13</f>
        <v>6088.9603520000001</v>
      </c>
      <c r="J149" s="237"/>
      <c r="K149" s="237">
        <f t="shared" ref="K149:K154" si="49">E149+ROUND(G149,0)+ROUND(I149,0)</f>
        <v>34138.514999999999</v>
      </c>
      <c r="L149" s="238"/>
      <c r="M149" s="237">
        <f t="shared" ref="M149:M154" si="50">E149</f>
        <v>25713.514999999999</v>
      </c>
      <c r="N149" s="237"/>
      <c r="O149" s="237"/>
      <c r="P149" s="237">
        <f t="shared" ref="P149:P154" si="51">IF($M149&gt;$U$11,($M149-$U$11)*$W$11,"ERROR")</f>
        <v>2335.7210700000001</v>
      </c>
      <c r="Q149" s="237"/>
      <c r="R149" s="237">
        <f t="shared" ref="R149:R154" si="52">SUM(M149:P149)</f>
        <v>28049.236069999999</v>
      </c>
      <c r="S149" s="223"/>
    </row>
    <row r="150" spans="2:24" ht="15.5" x14ac:dyDescent="0.35">
      <c r="B150" s="241"/>
      <c r="C150" s="242"/>
      <c r="D150" s="235">
        <v>2</v>
      </c>
      <c r="E150" s="236">
        <v>27599.751000000004</v>
      </c>
      <c r="F150" s="237"/>
      <c r="G150" s="237">
        <f t="shared" si="47"/>
        <v>2596.0216380000006</v>
      </c>
      <c r="H150" s="237"/>
      <c r="I150" s="237">
        <f t="shared" si="48"/>
        <v>6535.6210368000011</v>
      </c>
      <c r="J150" s="237"/>
      <c r="K150" s="237">
        <f t="shared" si="49"/>
        <v>36731.751000000004</v>
      </c>
      <c r="L150" s="238"/>
      <c r="M150" s="237">
        <f t="shared" si="50"/>
        <v>27599.751000000004</v>
      </c>
      <c r="N150" s="237"/>
      <c r="O150" s="237"/>
      <c r="P150" s="237">
        <f t="shared" si="51"/>
        <v>2596.0216380000006</v>
      </c>
      <c r="Q150" s="237"/>
      <c r="R150" s="237">
        <f t="shared" si="52"/>
        <v>30195.772638000006</v>
      </c>
      <c r="S150" s="223"/>
    </row>
    <row r="151" spans="2:24" ht="15.5" x14ac:dyDescent="0.35">
      <c r="B151" s="241"/>
      <c r="C151" s="242"/>
      <c r="D151" s="235">
        <v>3</v>
      </c>
      <c r="E151" s="236">
        <v>29663.172000000002</v>
      </c>
      <c r="F151" s="237"/>
      <c r="G151" s="237">
        <f>IF($M151&gt;$U$11,($E151-$U$11)*$W$11,"ERROR")</f>
        <v>2880.7737360000006</v>
      </c>
      <c r="H151" s="237"/>
      <c r="I151" s="237">
        <f t="shared" si="48"/>
        <v>7024.2391296000005</v>
      </c>
      <c r="J151" s="237"/>
      <c r="K151" s="237">
        <f t="shared" si="49"/>
        <v>39568.172000000006</v>
      </c>
      <c r="L151" s="238"/>
      <c r="M151" s="237">
        <f t="shared" si="50"/>
        <v>29663.172000000002</v>
      </c>
      <c r="N151" s="237"/>
      <c r="O151" s="237"/>
      <c r="P151" s="237">
        <f t="shared" si="51"/>
        <v>2880.7737360000006</v>
      </c>
      <c r="Q151" s="237"/>
      <c r="R151" s="237">
        <f t="shared" si="52"/>
        <v>32543.945736000001</v>
      </c>
      <c r="S151" s="223"/>
    </row>
    <row r="152" spans="2:24" ht="15.5" x14ac:dyDescent="0.35">
      <c r="B152" s="241"/>
      <c r="C152" s="242"/>
      <c r="D152" s="235">
        <v>4</v>
      </c>
      <c r="E152" s="236">
        <v>31777.0615</v>
      </c>
      <c r="F152" s="237"/>
      <c r="G152" s="237">
        <f t="shared" si="47"/>
        <v>3172.490487</v>
      </c>
      <c r="H152" s="237"/>
      <c r="I152" s="237">
        <f t="shared" si="48"/>
        <v>7524.8081632000003</v>
      </c>
      <c r="J152" s="237"/>
      <c r="K152" s="237">
        <f t="shared" si="49"/>
        <v>42474.061499999996</v>
      </c>
      <c r="L152" s="238"/>
      <c r="M152" s="237">
        <f t="shared" si="50"/>
        <v>31777.0615</v>
      </c>
      <c r="N152" s="237"/>
      <c r="O152" s="237"/>
      <c r="P152" s="237">
        <f t="shared" si="51"/>
        <v>3172.490487</v>
      </c>
      <c r="Q152" s="237"/>
      <c r="R152" s="237">
        <f t="shared" si="52"/>
        <v>34949.551986999999</v>
      </c>
      <c r="S152" s="223"/>
      <c r="X152" s="565"/>
    </row>
    <row r="153" spans="2:24" ht="15.5" x14ac:dyDescent="0.35">
      <c r="B153" s="241"/>
      <c r="C153" s="242"/>
      <c r="D153" s="235">
        <v>5</v>
      </c>
      <c r="E153" s="347">
        <f>(34099.33-((34099.33-E152)*0.29))*1.02</f>
        <v>34094.3895777</v>
      </c>
      <c r="F153" s="237"/>
      <c r="G153" s="237">
        <f t="shared" si="47"/>
        <v>3492.2817617226001</v>
      </c>
      <c r="H153" s="237"/>
      <c r="I153" s="237">
        <f t="shared" si="48"/>
        <v>8073.5514519993603</v>
      </c>
      <c r="J153" s="237"/>
      <c r="K153" s="237">
        <f t="shared" si="49"/>
        <v>45660.3895777</v>
      </c>
      <c r="L153" s="238"/>
      <c r="M153" s="237">
        <f t="shared" si="50"/>
        <v>34094.3895777</v>
      </c>
      <c r="N153" s="237"/>
      <c r="O153" s="237"/>
      <c r="P153" s="237">
        <f t="shared" si="51"/>
        <v>3492.2817617226001</v>
      </c>
      <c r="Q153" s="237"/>
      <c r="R153" s="237">
        <f t="shared" si="52"/>
        <v>37586.671339422603</v>
      </c>
      <c r="S153" s="223"/>
      <c r="U153" s="190"/>
      <c r="X153" s="561"/>
    </row>
    <row r="154" spans="2:24" ht="15.5" x14ac:dyDescent="0.35">
      <c r="B154" s="241"/>
      <c r="C154" s="242"/>
      <c r="D154" s="235">
        <v>6</v>
      </c>
      <c r="E154" s="236">
        <v>36960.202499999999</v>
      </c>
      <c r="F154" s="237"/>
      <c r="G154" s="237">
        <f t="shared" si="47"/>
        <v>3887.7639450000001</v>
      </c>
      <c r="H154" s="237"/>
      <c r="I154" s="237">
        <f t="shared" si="48"/>
        <v>8752.1759519999996</v>
      </c>
      <c r="J154" s="237"/>
      <c r="K154" s="237">
        <f t="shared" si="49"/>
        <v>49600.202499999999</v>
      </c>
      <c r="L154" s="238"/>
      <c r="M154" s="237">
        <f t="shared" si="50"/>
        <v>36960.202499999999</v>
      </c>
      <c r="N154" s="237"/>
      <c r="O154" s="237"/>
      <c r="P154" s="237">
        <f t="shared" si="51"/>
        <v>3887.7639450000001</v>
      </c>
      <c r="Q154" s="237"/>
      <c r="R154" s="237">
        <f t="shared" si="52"/>
        <v>40847.966444999998</v>
      </c>
      <c r="S154" s="223"/>
    </row>
    <row r="155" spans="2:24" ht="15.5" x14ac:dyDescent="0.35">
      <c r="B155" s="245" t="s">
        <v>641</v>
      </c>
      <c r="C155" s="242"/>
      <c r="D155" s="235"/>
      <c r="E155" s="236"/>
      <c r="F155" s="237"/>
      <c r="G155" s="237"/>
      <c r="H155" s="237"/>
      <c r="I155" s="237"/>
      <c r="J155" s="237"/>
      <c r="K155" s="237"/>
      <c r="L155" s="238"/>
      <c r="M155" s="246" t="s">
        <v>642</v>
      </c>
      <c r="N155" s="237"/>
      <c r="O155" s="237"/>
      <c r="P155" s="237"/>
      <c r="Q155" s="237"/>
      <c r="R155" s="237"/>
      <c r="S155" s="223"/>
    </row>
    <row r="156" spans="2:24" ht="15.5" x14ac:dyDescent="0.35">
      <c r="B156" s="241"/>
      <c r="C156" s="242" t="s">
        <v>643</v>
      </c>
      <c r="D156" s="235">
        <v>1</v>
      </c>
      <c r="E156" s="236">
        <v>38689.485000000001</v>
      </c>
      <c r="F156" s="237"/>
      <c r="G156" s="237">
        <f>IF($M156&gt;$U$11,($E156-$U$11)*$W$11,"ERROR")</f>
        <v>4126.4049300000006</v>
      </c>
      <c r="H156" s="237"/>
      <c r="I156" s="237">
        <f>$E156*$V$13</f>
        <v>9161.670048</v>
      </c>
      <c r="J156" s="237"/>
      <c r="K156" s="237">
        <f>E156+ROUND(G156,0)+ROUND(I156,0)</f>
        <v>51977.485000000001</v>
      </c>
      <c r="L156" s="238"/>
      <c r="M156" s="237">
        <f>E156</f>
        <v>38689.485000000001</v>
      </c>
      <c r="N156" s="237"/>
      <c r="O156" s="237"/>
      <c r="P156" s="237">
        <f>IF($M156&gt;$U$11,($M156-$U$11)*$W$11,"ERROR")</f>
        <v>4126.4049300000006</v>
      </c>
      <c r="Q156" s="237"/>
      <c r="R156" s="237">
        <f>SUM(M156:P156)</f>
        <v>42815.889930000005</v>
      </c>
      <c r="S156" s="223"/>
    </row>
    <row r="157" spans="2:24" ht="15.5" x14ac:dyDescent="0.35">
      <c r="B157" s="241"/>
      <c r="C157" s="242" t="s">
        <v>645</v>
      </c>
      <c r="D157" s="235">
        <v>2</v>
      </c>
      <c r="E157" s="236">
        <v>40123.875</v>
      </c>
      <c r="F157" s="237"/>
      <c r="G157" s="237">
        <f>IF($M157&gt;$U$11,($E157-$U$11)*$W$11,"ERROR")</f>
        <v>4324.3507500000005</v>
      </c>
      <c r="H157" s="237"/>
      <c r="I157" s="237">
        <f>$E157*$V$13</f>
        <v>9501.3335999999999</v>
      </c>
      <c r="J157" s="237"/>
      <c r="K157" s="237">
        <f>E157+ROUND(G157,0)+ROUND(I157,0)</f>
        <v>53948.875</v>
      </c>
      <c r="L157" s="238"/>
      <c r="M157" s="237">
        <f>E157</f>
        <v>40123.875</v>
      </c>
      <c r="N157" s="237"/>
      <c r="O157" s="237"/>
      <c r="P157" s="237">
        <f>IF($M157&gt;$U$11,($M157-$U$11)*$W$11,"ERROR")</f>
        <v>4324.3507500000005</v>
      </c>
      <c r="Q157" s="237"/>
      <c r="R157" s="237">
        <f>SUM(M157:P157)</f>
        <v>44448.225749999998</v>
      </c>
      <c r="S157" s="223"/>
    </row>
    <row r="158" spans="2:24" ht="15.5" x14ac:dyDescent="0.35">
      <c r="B158" s="241"/>
      <c r="C158" s="242"/>
      <c r="D158" s="235">
        <v>3</v>
      </c>
      <c r="E158" s="236">
        <v>41603.474999999999</v>
      </c>
      <c r="F158" s="237"/>
      <c r="G158" s="237">
        <f>IF($M158&gt;$U$11,($E158-$U$11)*$W$11,"ERROR")</f>
        <v>4528.5355500000005</v>
      </c>
      <c r="H158" s="237"/>
      <c r="I158" s="237">
        <f>$E158*$V$13</f>
        <v>9851.7028800000007</v>
      </c>
      <c r="J158" s="237"/>
      <c r="K158" s="237">
        <f>E158+ROUND(G158,0)+ROUND(I158,0)</f>
        <v>55984.474999999999</v>
      </c>
      <c r="L158" s="238"/>
      <c r="M158" s="237">
        <f>E158</f>
        <v>41603.474999999999</v>
      </c>
      <c r="N158" s="237"/>
      <c r="O158" s="237"/>
      <c r="P158" s="237">
        <f>IF($M158&gt;$U$11,($M158-$U$11)*$W$11,"ERROR")</f>
        <v>4528.5355500000005</v>
      </c>
      <c r="Q158" s="237"/>
      <c r="R158" s="237">
        <f>SUM(M158:P158)</f>
        <v>46132.010549999999</v>
      </c>
      <c r="S158" s="223"/>
    </row>
    <row r="159" spans="2:24" ht="15.5" x14ac:dyDescent="0.35">
      <c r="B159" s="241"/>
      <c r="C159" s="242"/>
      <c r="D159" s="235"/>
      <c r="E159" s="236"/>
      <c r="F159" s="237"/>
      <c r="G159" s="237"/>
      <c r="H159" s="237"/>
      <c r="I159" s="237"/>
      <c r="J159" s="237"/>
      <c r="K159" s="237"/>
      <c r="L159" s="238"/>
      <c r="M159" s="237"/>
      <c r="N159" s="237"/>
      <c r="O159" s="237"/>
      <c r="P159" s="237"/>
      <c r="Q159" s="237"/>
      <c r="R159" s="237"/>
      <c r="S159" s="223"/>
    </row>
    <row r="160" spans="2:24" ht="15.5" x14ac:dyDescent="0.35">
      <c r="B160" s="245" t="s">
        <v>648</v>
      </c>
      <c r="C160" s="242"/>
      <c r="D160" s="235"/>
      <c r="E160" s="236"/>
      <c r="F160" s="237"/>
      <c r="G160" s="237"/>
      <c r="H160" s="237"/>
      <c r="I160" s="237"/>
      <c r="J160" s="237"/>
      <c r="K160" s="237"/>
      <c r="L160" s="238"/>
      <c r="M160" s="246" t="s">
        <v>642</v>
      </c>
      <c r="N160" s="237"/>
      <c r="O160" s="237"/>
      <c r="P160" s="237"/>
      <c r="Q160" s="237"/>
      <c r="R160" s="237"/>
      <c r="S160" s="223"/>
    </row>
    <row r="161" spans="2:22" ht="15.5" x14ac:dyDescent="0.35">
      <c r="B161" s="247"/>
      <c r="C161" s="242"/>
      <c r="D161" s="220"/>
      <c r="E161" s="236"/>
      <c r="F161" s="237"/>
      <c r="G161" s="237"/>
      <c r="H161" s="237"/>
      <c r="I161" s="237"/>
      <c r="J161" s="237"/>
      <c r="K161" s="237"/>
      <c r="L161" s="238"/>
      <c r="M161" s="237"/>
      <c r="N161" s="237"/>
      <c r="O161" s="237"/>
      <c r="P161" s="237"/>
      <c r="Q161" s="237"/>
      <c r="R161" s="237"/>
      <c r="S161" s="223"/>
    </row>
    <row r="162" spans="2:22" ht="15.5" x14ac:dyDescent="0.35">
      <c r="B162" s="248" t="s">
        <v>651</v>
      </c>
      <c r="C162" s="242" t="s">
        <v>652</v>
      </c>
      <c r="D162" s="249">
        <v>1</v>
      </c>
      <c r="E162" s="236">
        <v>18168.255000000001</v>
      </c>
      <c r="F162" s="237"/>
      <c r="G162" s="237">
        <f t="shared" ref="G162:G167" si="53">IF($M162&gt;$U$11,($E162-$U$11)*$W$11,"ERROR")</f>
        <v>1294.4751900000003</v>
      </c>
      <c r="H162" s="237"/>
      <c r="I162" s="237">
        <f t="shared" ref="I162:I167" si="54">$E162*$V$13</f>
        <v>4302.242784</v>
      </c>
      <c r="J162" s="237"/>
      <c r="K162" s="237">
        <f t="shared" ref="K162:K167" si="55">E162+ROUND(G162,0)+ROUND(I162,0)</f>
        <v>23764.255000000001</v>
      </c>
      <c r="L162" s="238"/>
      <c r="M162" s="237">
        <f t="shared" ref="M162:M167" si="56">E162</f>
        <v>18168.255000000001</v>
      </c>
      <c r="N162" s="237"/>
      <c r="O162" s="237"/>
      <c r="P162" s="237">
        <f t="shared" ref="P162:P167" si="57">IF($M162&gt;$U$11,($M162-$U$11)*$W$11,"ERROR")</f>
        <v>1294.4751900000003</v>
      </c>
      <c r="Q162" s="237"/>
      <c r="R162" s="237">
        <f t="shared" ref="R162:R167" si="58">SUM(M162:P162)</f>
        <v>19462.730190000002</v>
      </c>
      <c r="S162" s="223"/>
    </row>
    <row r="163" spans="2:22" ht="15.5" x14ac:dyDescent="0.35">
      <c r="B163" s="248" t="s">
        <v>653</v>
      </c>
      <c r="C163" s="242" t="s">
        <v>654</v>
      </c>
      <c r="D163" s="249">
        <v>2</v>
      </c>
      <c r="E163" s="236">
        <v>20281.822499999998</v>
      </c>
      <c r="F163" s="237"/>
      <c r="G163" s="237">
        <f t="shared" si="53"/>
        <v>1586.1475049999999</v>
      </c>
      <c r="H163" s="237"/>
      <c r="I163" s="237">
        <f t="shared" si="54"/>
        <v>4802.7355680000001</v>
      </c>
      <c r="J163" s="237"/>
      <c r="K163" s="237">
        <f t="shared" si="55"/>
        <v>26670.822499999998</v>
      </c>
      <c r="L163" s="238"/>
      <c r="M163" s="237">
        <f t="shared" si="56"/>
        <v>20281.822499999998</v>
      </c>
      <c r="N163" s="237"/>
      <c r="O163" s="237"/>
      <c r="P163" s="237">
        <f t="shared" si="57"/>
        <v>1586.1475049999999</v>
      </c>
      <c r="Q163" s="237"/>
      <c r="R163" s="237">
        <f t="shared" si="58"/>
        <v>21867.970004999999</v>
      </c>
      <c r="S163" s="223"/>
    </row>
    <row r="164" spans="2:22" ht="15.5" x14ac:dyDescent="0.35">
      <c r="B164" s="250"/>
      <c r="C164" s="242"/>
      <c r="D164" s="249">
        <v>3</v>
      </c>
      <c r="E164" s="236">
        <v>22393.334999999999</v>
      </c>
      <c r="F164" s="237"/>
      <c r="G164" s="237">
        <f t="shared" si="53"/>
        <v>1877.5362299999999</v>
      </c>
      <c r="H164" s="237"/>
      <c r="I164" s="237">
        <f t="shared" si="54"/>
        <v>5302.741728</v>
      </c>
      <c r="J164" s="237"/>
      <c r="K164" s="237">
        <f t="shared" si="55"/>
        <v>29574.334999999999</v>
      </c>
      <c r="L164" s="238"/>
      <c r="M164" s="237">
        <f t="shared" si="56"/>
        <v>22393.334999999999</v>
      </c>
      <c r="N164" s="237"/>
      <c r="O164" s="237"/>
      <c r="P164" s="237">
        <f t="shared" si="57"/>
        <v>1877.5362299999999</v>
      </c>
      <c r="Q164" s="237"/>
      <c r="R164" s="237">
        <f t="shared" si="58"/>
        <v>24270.871230000001</v>
      </c>
      <c r="S164" s="223"/>
    </row>
    <row r="165" spans="2:22" ht="15.5" x14ac:dyDescent="0.35">
      <c r="B165" s="250"/>
      <c r="C165" s="242"/>
      <c r="D165" s="249">
        <v>4</v>
      </c>
      <c r="E165" s="236">
        <v>24506.9025</v>
      </c>
      <c r="F165" s="237"/>
      <c r="G165" s="237">
        <f t="shared" si="53"/>
        <v>2169.2085450000004</v>
      </c>
      <c r="H165" s="237"/>
      <c r="I165" s="237">
        <f t="shared" si="54"/>
        <v>5803.234512</v>
      </c>
      <c r="J165" s="237"/>
      <c r="K165" s="237">
        <f t="shared" si="55"/>
        <v>32478.9025</v>
      </c>
      <c r="L165" s="238"/>
      <c r="M165" s="237">
        <f t="shared" si="56"/>
        <v>24506.9025</v>
      </c>
      <c r="N165" s="237"/>
      <c r="O165" s="237"/>
      <c r="P165" s="237">
        <f t="shared" si="57"/>
        <v>2169.2085450000004</v>
      </c>
      <c r="Q165" s="237"/>
      <c r="R165" s="237">
        <f t="shared" si="58"/>
        <v>26676.111045000001</v>
      </c>
      <c r="S165" s="223"/>
    </row>
    <row r="166" spans="2:22" ht="15.5" x14ac:dyDescent="0.35">
      <c r="B166" s="247"/>
      <c r="C166" s="242"/>
      <c r="D166" s="249">
        <v>5</v>
      </c>
      <c r="E166" s="236">
        <v>26621.497499999998</v>
      </c>
      <c r="F166" s="237"/>
      <c r="G166" s="237">
        <f t="shared" si="53"/>
        <v>2461.0226549999998</v>
      </c>
      <c r="H166" s="237"/>
      <c r="I166" s="237">
        <f t="shared" si="54"/>
        <v>6303.9706079999996</v>
      </c>
      <c r="J166" s="237"/>
      <c r="K166" s="237">
        <f t="shared" si="55"/>
        <v>35386.497499999998</v>
      </c>
      <c r="L166" s="238"/>
      <c r="M166" s="237">
        <f t="shared" si="56"/>
        <v>26621.497499999998</v>
      </c>
      <c r="N166" s="237"/>
      <c r="O166" s="237"/>
      <c r="P166" s="237">
        <f t="shared" si="57"/>
        <v>2461.0226549999998</v>
      </c>
      <c r="Q166" s="237"/>
      <c r="R166" s="237">
        <f t="shared" si="58"/>
        <v>29082.520154999998</v>
      </c>
      <c r="S166" s="223"/>
    </row>
    <row r="167" spans="2:22" ht="15.5" x14ac:dyDescent="0.35">
      <c r="B167" s="247"/>
      <c r="C167" s="242"/>
      <c r="D167" s="249">
        <v>6</v>
      </c>
      <c r="E167" s="236">
        <v>28734.037499999999</v>
      </c>
      <c r="F167" s="237"/>
      <c r="G167" s="237">
        <f t="shared" si="53"/>
        <v>2752.553175</v>
      </c>
      <c r="H167" s="237"/>
      <c r="I167" s="237">
        <f t="shared" si="54"/>
        <v>6804.2200800000001</v>
      </c>
      <c r="J167" s="237"/>
      <c r="K167" s="237">
        <f t="shared" si="55"/>
        <v>38291.037499999999</v>
      </c>
      <c r="L167" s="238"/>
      <c r="M167" s="237">
        <f t="shared" si="56"/>
        <v>28734.037499999999</v>
      </c>
      <c r="N167" s="237"/>
      <c r="O167" s="237"/>
      <c r="P167" s="237">
        <f t="shared" si="57"/>
        <v>2752.553175</v>
      </c>
      <c r="Q167" s="237"/>
      <c r="R167" s="237">
        <f t="shared" si="58"/>
        <v>31486.590674999999</v>
      </c>
      <c r="S167" s="223"/>
    </row>
    <row r="168" spans="2:22" ht="15.5" x14ac:dyDescent="0.35">
      <c r="B168" s="247"/>
      <c r="C168" s="242"/>
      <c r="D168" s="249"/>
      <c r="E168" s="251"/>
      <c r="F168" s="251"/>
      <c r="G168" s="251"/>
      <c r="H168" s="251"/>
      <c r="I168" s="251"/>
      <c r="J168" s="251"/>
      <c r="K168" s="251"/>
      <c r="L168" s="252"/>
      <c r="M168" s="251"/>
      <c r="N168" s="251"/>
      <c r="O168" s="251"/>
      <c r="P168" s="251"/>
      <c r="Q168" s="251"/>
      <c r="R168" s="251"/>
      <c r="S168" s="223"/>
    </row>
    <row r="169" spans="2:22" ht="15.5" x14ac:dyDescent="0.35">
      <c r="B169" s="247"/>
      <c r="C169" s="242"/>
      <c r="D169" s="249"/>
      <c r="E169" s="251"/>
      <c r="F169" s="251"/>
      <c r="G169" s="251"/>
      <c r="H169" s="251"/>
      <c r="I169" s="251"/>
      <c r="J169" s="251"/>
      <c r="K169" s="251"/>
      <c r="L169" s="252"/>
      <c r="M169" s="251"/>
      <c r="N169" s="251"/>
      <c r="O169" s="251"/>
      <c r="P169" s="251"/>
      <c r="Q169" s="251"/>
      <c r="R169" s="251"/>
      <c r="S169" s="223"/>
    </row>
    <row r="170" spans="2:22" ht="16" thickBot="1" x14ac:dyDescent="0.4">
      <c r="B170" s="776"/>
      <c r="C170" s="777"/>
      <c r="D170" s="778"/>
      <c r="E170" s="779"/>
      <c r="F170" s="779"/>
      <c r="G170" s="779"/>
      <c r="H170" s="779"/>
      <c r="I170" s="779"/>
      <c r="J170" s="779"/>
      <c r="K170" s="779"/>
      <c r="L170" s="780"/>
      <c r="M170" s="781"/>
      <c r="N170" s="779"/>
      <c r="O170" s="779"/>
      <c r="P170" s="779"/>
      <c r="Q170" s="779"/>
      <c r="R170" s="779"/>
      <c r="S170" s="775"/>
    </row>
    <row r="172" spans="2:22" ht="15.5" x14ac:dyDescent="0.35">
      <c r="B172" s="241"/>
      <c r="C172" s="242"/>
      <c r="D172" s="235">
        <v>5</v>
      </c>
      <c r="E172" s="347">
        <f>E126+(E126*2%)</f>
        <v>36409.789577700001</v>
      </c>
      <c r="F172" s="237"/>
      <c r="G172" s="237">
        <f t="shared" ref="G172" si="59">IF($M172&gt;$U$11,($E172-$U$11)*$W$11,"ERROR")</f>
        <v>3811.8069617226006</v>
      </c>
      <c r="H172" s="237"/>
      <c r="I172" s="237">
        <f>$E172*$V$13</f>
        <v>8621.8381719993613</v>
      </c>
      <c r="J172" s="237"/>
      <c r="K172" s="237">
        <f t="shared" ref="K172" si="60">E172+ROUND(G172,0)+ROUND(I172,0)</f>
        <v>48843.789577700001</v>
      </c>
      <c r="L172" s="238"/>
      <c r="M172" s="237">
        <f t="shared" ref="M172" si="61">E172</f>
        <v>36409.789577700001</v>
      </c>
      <c r="N172" s="237"/>
      <c r="O172" s="237"/>
      <c r="P172" s="237">
        <f t="shared" ref="P172:P174" si="62">IF($M172&gt;$U$11,($M172-$U$11)*$W$11,"ERROR")</f>
        <v>3811.8069617226006</v>
      </c>
      <c r="Q172" s="237"/>
      <c r="R172" s="237">
        <f t="shared" ref="R172" si="63">SUM(M172:P172)</f>
        <v>40221.5965394226</v>
      </c>
      <c r="S172" s="223"/>
      <c r="U172" s="270" t="s">
        <v>667</v>
      </c>
      <c r="V172" s="270"/>
    </row>
    <row r="173" spans="2:22" ht="15.5" x14ac:dyDescent="0.35">
      <c r="U173" s="270"/>
      <c r="V173" s="270"/>
    </row>
    <row r="174" spans="2:22" ht="15.5" x14ac:dyDescent="0.35">
      <c r="E174" s="347">
        <f>E172</f>
        <v>36409.789577700001</v>
      </c>
      <c r="F174" s="237"/>
      <c r="G174" s="237">
        <f>IF($M174&gt;$U$11,($E174-$U$11)*($W$11+0.0125),"ERROR")</f>
        <v>4157.0793314438506</v>
      </c>
      <c r="H174" s="237"/>
      <c r="I174" s="237">
        <f>$E174*$V$13</f>
        <v>8621.8381719993613</v>
      </c>
      <c r="J174" s="237"/>
      <c r="K174" s="237">
        <f t="shared" ref="K174" si="64">E174+ROUND(G174,0)+ROUND(I174,0)</f>
        <v>49188.789577700001</v>
      </c>
      <c r="L174" s="238"/>
      <c r="M174" s="237">
        <f t="shared" ref="M174" si="65">E174</f>
        <v>36409.789577700001</v>
      </c>
      <c r="N174" s="237"/>
      <c r="O174" s="237"/>
      <c r="P174" s="237">
        <f t="shared" si="62"/>
        <v>3811.8069617226006</v>
      </c>
      <c r="Q174" s="237"/>
      <c r="R174" s="237">
        <f t="shared" ref="R174" si="66">SUM(M174:P174)</f>
        <v>40221.5965394226</v>
      </c>
      <c r="V174" s="270"/>
    </row>
    <row r="176" spans="2:22" ht="15.5" x14ac:dyDescent="0.35">
      <c r="G176" s="616">
        <f>G174-G172</f>
        <v>345.27236972125002</v>
      </c>
      <c r="I176" s="270" t="s">
        <v>668</v>
      </c>
    </row>
    <row r="178" spans="7:7" x14ac:dyDescent="0.25">
      <c r="G178" s="617"/>
    </row>
    <row r="179" spans="7:7" x14ac:dyDescent="0.25">
      <c r="G179" s="615"/>
    </row>
  </sheetData>
  <mergeCells count="3">
    <mergeCell ref="B3:S4"/>
    <mergeCell ref="B5:S5"/>
    <mergeCell ref="B6:S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97BF-3FA1-4EF3-9766-03DEE7FD521C}">
  <sheetPr>
    <tabColor rgb="FFFFC000"/>
  </sheetPr>
  <dimension ref="A1:X66"/>
  <sheetViews>
    <sheetView topLeftCell="A2" workbookViewId="0">
      <selection activeCell="U37" sqref="U37:V37"/>
    </sheetView>
  </sheetViews>
  <sheetFormatPr defaultRowHeight="12.5" x14ac:dyDescent="0.25"/>
  <cols>
    <col min="11" max="11" width="9.08984375" bestFit="1" customWidth="1"/>
  </cols>
  <sheetData>
    <row r="1" spans="1:24" ht="23" x14ac:dyDescent="0.5">
      <c r="A1" s="866" t="s">
        <v>957</v>
      </c>
      <c r="B1" s="867"/>
      <c r="C1" s="867"/>
      <c r="D1" s="867"/>
      <c r="E1" s="867"/>
      <c r="F1" s="867"/>
      <c r="G1" s="867"/>
      <c r="H1" s="867"/>
      <c r="I1" s="867"/>
      <c r="J1" s="867"/>
      <c r="K1" s="867"/>
      <c r="L1" s="867"/>
      <c r="M1" s="867"/>
      <c r="N1" s="867"/>
      <c r="O1" s="867"/>
      <c r="P1" s="867"/>
      <c r="Q1" s="867"/>
      <c r="R1" s="867"/>
      <c r="S1" s="868" t="s">
        <v>958</v>
      </c>
      <c r="T1" s="869"/>
      <c r="U1" s="1090"/>
      <c r="V1" s="1091"/>
      <c r="W1" s="190"/>
      <c r="X1" s="190"/>
    </row>
    <row r="2" spans="1:24" ht="24.5" x14ac:dyDescent="0.7">
      <c r="A2" s="870" t="s">
        <v>959</v>
      </c>
      <c r="B2" s="871"/>
      <c r="C2" s="871"/>
      <c r="D2" s="871"/>
      <c r="E2" s="871"/>
      <c r="F2" s="871"/>
      <c r="G2" s="871"/>
      <c r="H2" s="871"/>
      <c r="I2" s="871"/>
      <c r="J2" s="871"/>
      <c r="K2" s="871"/>
      <c r="L2" s="871"/>
      <c r="M2" s="871"/>
      <c r="N2" s="871"/>
      <c r="O2" s="871"/>
      <c r="P2" s="871"/>
      <c r="Q2" s="871"/>
      <c r="R2" s="871"/>
      <c r="S2" s="871"/>
      <c r="T2" s="872"/>
      <c r="U2" s="1092"/>
      <c r="V2" s="1093"/>
      <c r="W2" s="277"/>
      <c r="X2" s="277"/>
    </row>
    <row r="3" spans="1:24" ht="18" x14ac:dyDescent="0.5">
      <c r="A3" s="873" t="s">
        <v>680</v>
      </c>
      <c r="B3" s="874"/>
      <c r="C3" s="874"/>
      <c r="D3" s="874"/>
      <c r="E3" s="874"/>
      <c r="F3" s="874"/>
      <c r="G3" s="874"/>
      <c r="H3" s="874"/>
      <c r="I3" s="874"/>
      <c r="J3" s="874"/>
      <c r="K3" s="874"/>
      <c r="L3" s="874"/>
      <c r="M3" s="874"/>
      <c r="N3" s="874"/>
      <c r="O3" s="874"/>
      <c r="P3" s="874"/>
      <c r="Q3" s="874"/>
      <c r="R3" s="874"/>
      <c r="S3" s="874"/>
      <c r="T3" s="874"/>
      <c r="U3" s="1093"/>
      <c r="V3" s="1093"/>
      <c r="W3" s="277"/>
      <c r="X3" s="277"/>
    </row>
    <row r="4" spans="1:24" ht="15.5" x14ac:dyDescent="0.35">
      <c r="A4" s="875" t="s">
        <v>960</v>
      </c>
      <c r="B4" s="875"/>
      <c r="C4" s="875"/>
      <c r="D4" s="875"/>
      <c r="E4" s="875"/>
      <c r="F4" s="875"/>
      <c r="G4" s="876"/>
      <c r="H4" s="875"/>
      <c r="I4" s="875"/>
      <c r="J4" s="875"/>
      <c r="K4" s="875"/>
      <c r="L4" s="875"/>
      <c r="M4" s="875"/>
      <c r="N4" s="875"/>
      <c r="O4" s="875"/>
      <c r="P4" s="875"/>
      <c r="Q4" s="875"/>
      <c r="R4" s="875"/>
      <c r="S4" s="875"/>
      <c r="T4" s="875"/>
      <c r="U4" s="1089"/>
      <c r="V4" s="1089"/>
      <c r="W4" s="190"/>
      <c r="X4" s="190"/>
    </row>
    <row r="5" spans="1:24" ht="18" x14ac:dyDescent="0.5">
      <c r="A5" s="876" t="s">
        <v>716</v>
      </c>
      <c r="B5" s="874"/>
      <c r="C5" s="874"/>
      <c r="D5" s="874"/>
      <c r="E5" s="874"/>
      <c r="F5" s="874"/>
      <c r="G5" s="874"/>
      <c r="H5" s="874"/>
      <c r="I5" s="874"/>
      <c r="J5" s="874"/>
      <c r="K5" s="874"/>
      <c r="L5" s="874"/>
      <c r="M5" s="874"/>
      <c r="N5" s="874"/>
      <c r="O5" s="874"/>
      <c r="P5" s="874"/>
      <c r="Q5" s="874"/>
      <c r="R5" s="874"/>
      <c r="S5" s="874"/>
      <c r="T5" s="874"/>
      <c r="U5" s="1093"/>
      <c r="V5" s="1093"/>
      <c r="W5" s="277"/>
      <c r="X5" s="277"/>
    </row>
    <row r="6" spans="1:24" ht="18.5" thickBot="1" x14ac:dyDescent="0.55000000000000004">
      <c r="A6" s="875" t="s">
        <v>945</v>
      </c>
      <c r="B6" s="877"/>
      <c r="C6" s="877"/>
      <c r="D6" s="877"/>
      <c r="E6" s="877"/>
      <c r="F6" s="877"/>
      <c r="G6" s="877"/>
      <c r="H6" s="877"/>
      <c r="I6" s="877"/>
      <c r="J6" s="877"/>
      <c r="K6" s="877"/>
      <c r="L6" s="877"/>
      <c r="M6" s="877"/>
      <c r="N6" s="877"/>
      <c r="O6" s="877"/>
      <c r="P6" s="877"/>
      <c r="Q6" s="877"/>
      <c r="R6" s="877"/>
      <c r="S6" s="877"/>
      <c r="T6" s="877"/>
      <c r="U6" s="277"/>
      <c r="V6" s="878" t="s">
        <v>616</v>
      </c>
      <c r="W6" s="878">
        <v>1</v>
      </c>
      <c r="X6" s="878">
        <v>2</v>
      </c>
    </row>
    <row r="7" spans="1:24" ht="15.5" x14ac:dyDescent="0.45">
      <c r="A7" s="879"/>
      <c r="B7" s="1094" t="s">
        <v>621</v>
      </c>
      <c r="C7" s="1094"/>
      <c r="D7" s="879"/>
      <c r="E7" s="880" t="s">
        <v>719</v>
      </c>
      <c r="F7" s="879"/>
      <c r="G7" s="879"/>
      <c r="H7" s="879"/>
      <c r="I7" s="879"/>
      <c r="J7" s="879"/>
      <c r="K7" s="879"/>
      <c r="L7" s="879"/>
      <c r="M7" s="879"/>
      <c r="N7" s="881" t="s">
        <v>961</v>
      </c>
      <c r="O7" s="882"/>
      <c r="P7" s="882"/>
      <c r="Q7" s="883"/>
      <c r="R7" s="883"/>
      <c r="S7" s="883"/>
      <c r="T7" s="884"/>
      <c r="U7" s="306"/>
      <c r="V7" s="306">
        <v>0</v>
      </c>
      <c r="W7" s="306">
        <v>0</v>
      </c>
      <c r="X7" s="306">
        <v>0</v>
      </c>
    </row>
    <row r="8" spans="1:24" ht="15.5" x14ac:dyDescent="0.45">
      <c r="A8" s="306"/>
      <c r="B8" s="306" t="s">
        <v>616</v>
      </c>
      <c r="C8" s="306">
        <v>6396</v>
      </c>
      <c r="D8" s="306"/>
      <c r="E8" s="885" t="s">
        <v>687</v>
      </c>
      <c r="F8" s="306"/>
      <c r="G8" s="306"/>
      <c r="H8" s="306"/>
      <c r="I8" s="306"/>
      <c r="J8" s="306"/>
      <c r="K8" s="306"/>
      <c r="L8" s="306"/>
      <c r="M8" s="306"/>
      <c r="N8" s="306"/>
      <c r="O8" s="306"/>
      <c r="P8" s="306"/>
      <c r="Q8" s="306"/>
      <c r="R8" s="306"/>
      <c r="S8" s="306"/>
      <c r="T8" s="306"/>
      <c r="U8" s="306"/>
      <c r="V8" s="886">
        <v>6396</v>
      </c>
      <c r="W8" s="306">
        <v>0</v>
      </c>
      <c r="X8" s="306">
        <v>0</v>
      </c>
    </row>
    <row r="9" spans="1:24" ht="15.5" x14ac:dyDescent="0.45">
      <c r="A9" s="306"/>
      <c r="B9" s="306">
        <v>6396</v>
      </c>
      <c r="C9" s="306">
        <v>9100</v>
      </c>
      <c r="D9" s="306"/>
      <c r="E9" s="306">
        <v>6396</v>
      </c>
      <c r="F9" s="887" t="s">
        <v>689</v>
      </c>
      <c r="G9" s="306">
        <v>0</v>
      </c>
      <c r="H9" s="887" t="s">
        <v>690</v>
      </c>
      <c r="I9" s="306" t="s">
        <v>275</v>
      </c>
      <c r="J9" s="306"/>
      <c r="K9" s="306"/>
      <c r="L9" s="306"/>
      <c r="M9" s="306"/>
      <c r="N9" s="306"/>
      <c r="O9" s="306"/>
      <c r="P9" s="306"/>
      <c r="Q9" s="887" t="s">
        <v>962</v>
      </c>
      <c r="R9" s="306"/>
      <c r="S9" s="306">
        <v>0</v>
      </c>
      <c r="T9" s="887" t="s">
        <v>690</v>
      </c>
      <c r="U9" s="306"/>
      <c r="V9" s="886">
        <v>9100</v>
      </c>
      <c r="W9" s="306">
        <v>0</v>
      </c>
      <c r="X9" s="306">
        <v>0.13800000000000001</v>
      </c>
    </row>
    <row r="10" spans="1:24" ht="15.5" x14ac:dyDescent="0.45">
      <c r="A10" s="306"/>
      <c r="B10" s="306">
        <v>9100</v>
      </c>
      <c r="C10" s="306">
        <v>50270</v>
      </c>
      <c r="D10" s="306"/>
      <c r="E10" s="306">
        <v>6396</v>
      </c>
      <c r="F10" s="887" t="s">
        <v>689</v>
      </c>
      <c r="G10" s="306">
        <v>0</v>
      </c>
      <c r="H10" s="887" t="s">
        <v>690</v>
      </c>
      <c r="I10" s="306">
        <v>2704</v>
      </c>
      <c r="J10" s="306" t="s">
        <v>689</v>
      </c>
      <c r="K10" s="306">
        <v>0</v>
      </c>
      <c r="L10" s="306" t="s">
        <v>690</v>
      </c>
      <c r="M10" s="306"/>
      <c r="N10" s="306"/>
      <c r="O10" s="306"/>
      <c r="P10" s="306"/>
      <c r="Q10" s="887" t="s">
        <v>962</v>
      </c>
      <c r="R10" s="306"/>
      <c r="S10" s="306">
        <v>13.8</v>
      </c>
      <c r="T10" s="887" t="s">
        <v>690</v>
      </c>
      <c r="U10" s="306"/>
      <c r="V10" s="886">
        <v>50270</v>
      </c>
      <c r="W10" s="306">
        <v>0</v>
      </c>
      <c r="X10" s="306">
        <v>0.13800000000000001</v>
      </c>
    </row>
    <row r="11" spans="1:24" ht="16" thickBot="1" x14ac:dyDescent="0.5">
      <c r="A11" s="888"/>
      <c r="B11" s="306">
        <v>50270</v>
      </c>
      <c r="C11" s="888" t="s">
        <v>688</v>
      </c>
      <c r="D11" s="888"/>
      <c r="E11" s="888">
        <v>6396</v>
      </c>
      <c r="F11" s="889" t="s">
        <v>689</v>
      </c>
      <c r="G11" s="888">
        <v>0</v>
      </c>
      <c r="H11" s="889" t="s">
        <v>690</v>
      </c>
      <c r="I11" s="306">
        <v>2704</v>
      </c>
      <c r="J11" s="888" t="s">
        <v>689</v>
      </c>
      <c r="K11" s="888">
        <v>0</v>
      </c>
      <c r="L11" s="888" t="s">
        <v>690</v>
      </c>
      <c r="M11" s="888">
        <v>41170</v>
      </c>
      <c r="N11" s="888" t="s">
        <v>689</v>
      </c>
      <c r="O11" s="888">
        <v>13.8</v>
      </c>
      <c r="P11" s="888" t="s">
        <v>690</v>
      </c>
      <c r="Q11" s="889" t="s">
        <v>962</v>
      </c>
      <c r="R11" s="888"/>
      <c r="S11" s="888">
        <v>13.8</v>
      </c>
      <c r="T11" s="889" t="s">
        <v>690</v>
      </c>
      <c r="U11" s="1095"/>
      <c r="V11" s="1095"/>
      <c r="W11" s="306"/>
      <c r="X11" s="306"/>
    </row>
    <row r="12" spans="1:24" ht="16" thickBot="1" x14ac:dyDescent="0.5">
      <c r="A12" s="890"/>
      <c r="B12" s="891"/>
      <c r="C12" s="891"/>
      <c r="D12" s="891"/>
      <c r="E12" s="891"/>
      <c r="F12" s="891"/>
      <c r="G12" s="891"/>
      <c r="H12" s="891"/>
      <c r="I12" s="891"/>
      <c r="J12" s="891"/>
      <c r="K12" s="891"/>
      <c r="L12" s="891"/>
      <c r="M12" s="891"/>
      <c r="N12" s="891"/>
      <c r="O12" s="891"/>
      <c r="P12" s="891"/>
      <c r="Q12" s="891"/>
      <c r="R12" s="891"/>
      <c r="S12" s="891"/>
      <c r="T12" s="891"/>
      <c r="U12" s="306"/>
      <c r="V12" s="885" t="s">
        <v>627</v>
      </c>
      <c r="W12" s="306">
        <v>0.24099999999999999</v>
      </c>
      <c r="X12" s="306"/>
    </row>
    <row r="13" spans="1:24" ht="16" thickTop="1" x14ac:dyDescent="0.35">
      <c r="A13" s="892"/>
      <c r="B13" s="893"/>
      <c r="C13" s="893"/>
      <c r="D13" s="894"/>
      <c r="E13" s="1096" t="s">
        <v>692</v>
      </c>
      <c r="F13" s="1096"/>
      <c r="G13" s="1096"/>
      <c r="H13" s="1096"/>
      <c r="I13" s="1096"/>
      <c r="J13" s="1096"/>
      <c r="K13" s="1096"/>
      <c r="L13" s="894"/>
      <c r="M13" s="1097" t="s">
        <v>693</v>
      </c>
      <c r="N13" s="1096"/>
      <c r="O13" s="1096"/>
      <c r="P13" s="1096"/>
      <c r="Q13" s="1096"/>
      <c r="R13" s="1096"/>
      <c r="S13" s="1096"/>
      <c r="T13" s="895"/>
      <c r="U13" s="1088"/>
      <c r="V13" s="1089"/>
      <c r="W13" s="190"/>
      <c r="X13" s="190"/>
    </row>
    <row r="14" spans="1:24" ht="15.5" x14ac:dyDescent="0.35">
      <c r="A14" s="1086" t="s">
        <v>963</v>
      </c>
      <c r="B14" s="1087"/>
      <c r="C14" s="897" t="s">
        <v>632</v>
      </c>
      <c r="D14" s="897"/>
      <c r="E14" s="898" t="s">
        <v>695</v>
      </c>
      <c r="F14" s="897"/>
      <c r="G14" s="898" t="s">
        <v>634</v>
      </c>
      <c r="H14" s="897"/>
      <c r="I14" s="898" t="s">
        <v>627</v>
      </c>
      <c r="J14" s="897"/>
      <c r="K14" s="898" t="s">
        <v>696</v>
      </c>
      <c r="L14" s="896"/>
      <c r="M14" s="899" t="s">
        <v>695</v>
      </c>
      <c r="N14" s="897"/>
      <c r="O14" s="897"/>
      <c r="P14" s="897"/>
      <c r="Q14" s="898" t="s">
        <v>634</v>
      </c>
      <c r="R14" s="897"/>
      <c r="S14" s="898" t="s">
        <v>696</v>
      </c>
      <c r="T14" s="900"/>
      <c r="U14" s="1088"/>
      <c r="V14" s="1089"/>
      <c r="W14" s="190"/>
      <c r="X14" s="190"/>
    </row>
    <row r="15" spans="1:24" ht="16" thickBot="1" x14ac:dyDescent="0.4">
      <c r="A15" s="901"/>
      <c r="B15" s="902"/>
      <c r="C15" s="902"/>
      <c r="D15" s="902"/>
      <c r="E15" s="902"/>
      <c r="F15" s="902"/>
      <c r="G15" s="902"/>
      <c r="H15" s="902"/>
      <c r="I15" s="902"/>
      <c r="J15" s="902"/>
      <c r="K15" s="902"/>
      <c r="L15" s="902"/>
      <c r="M15" s="903"/>
      <c r="N15" s="902"/>
      <c r="O15" s="902"/>
      <c r="P15" s="902"/>
      <c r="Q15" s="902"/>
      <c r="R15" s="902"/>
      <c r="S15" s="902"/>
      <c r="T15" s="904"/>
      <c r="U15" s="1088"/>
      <c r="V15" s="1089"/>
      <c r="W15" s="190"/>
      <c r="X15" s="190"/>
    </row>
    <row r="16" spans="1:24" ht="15.5" x14ac:dyDescent="0.35">
      <c r="A16" s="905"/>
      <c r="B16" s="190"/>
      <c r="C16" s="906"/>
      <c r="D16" s="190"/>
      <c r="E16" s="190"/>
      <c r="F16" s="190"/>
      <c r="G16" s="190"/>
      <c r="H16" s="190"/>
      <c r="I16" s="190"/>
      <c r="J16" s="190"/>
      <c r="K16" s="190"/>
      <c r="L16" s="190"/>
      <c r="M16" s="907"/>
      <c r="N16" s="190"/>
      <c r="O16" s="190"/>
      <c r="P16" s="190"/>
      <c r="Q16" s="190"/>
      <c r="R16" s="190"/>
      <c r="S16" s="190"/>
      <c r="T16" s="908"/>
      <c r="U16" s="1088"/>
      <c r="V16" s="1089"/>
      <c r="W16" s="190"/>
      <c r="X16" s="190"/>
    </row>
    <row r="17" spans="1:24" ht="15.5" x14ac:dyDescent="0.35">
      <c r="A17" s="909" t="s">
        <v>964</v>
      </c>
      <c r="B17" s="190"/>
      <c r="C17" s="906" t="s">
        <v>965</v>
      </c>
      <c r="D17" s="910"/>
      <c r="E17" s="911">
        <v>20435</v>
      </c>
      <c r="F17" s="190"/>
      <c r="G17" s="912">
        <v>1564</v>
      </c>
      <c r="H17" s="190"/>
      <c r="I17" s="912">
        <v>4925</v>
      </c>
      <c r="J17" s="190"/>
      <c r="K17" s="912">
        <v>26924</v>
      </c>
      <c r="L17" s="190"/>
      <c r="M17" s="913">
        <v>20435</v>
      </c>
      <c r="N17" s="190"/>
      <c r="O17" s="190"/>
      <c r="P17" s="190"/>
      <c r="Q17" s="912">
        <v>1564</v>
      </c>
      <c r="R17" s="190"/>
      <c r="S17" s="912">
        <v>21999</v>
      </c>
      <c r="T17" s="908"/>
      <c r="U17" s="1088"/>
      <c r="V17" s="1089"/>
      <c r="W17" s="190"/>
      <c r="X17" s="190"/>
    </row>
    <row r="18" spans="1:24" ht="15.5" x14ac:dyDescent="0.35">
      <c r="A18" s="909" t="s">
        <v>964</v>
      </c>
      <c r="B18" s="906"/>
      <c r="C18" s="906" t="s">
        <v>966</v>
      </c>
      <c r="D18" s="910"/>
      <c r="E18" s="911">
        <v>22183</v>
      </c>
      <c r="F18" s="190"/>
      <c r="G18" s="912">
        <v>1805</v>
      </c>
      <c r="H18" s="190"/>
      <c r="I18" s="912">
        <v>5346</v>
      </c>
      <c r="J18" s="190"/>
      <c r="K18" s="912">
        <v>29334</v>
      </c>
      <c r="L18" s="190"/>
      <c r="M18" s="913">
        <v>22183</v>
      </c>
      <c r="N18" s="190"/>
      <c r="O18" s="190"/>
      <c r="P18" s="190"/>
      <c r="Q18" s="912">
        <v>1805</v>
      </c>
      <c r="R18" s="190"/>
      <c r="S18" s="912">
        <v>23988</v>
      </c>
      <c r="T18" s="908"/>
      <c r="U18" s="1088"/>
      <c r="V18" s="1089"/>
      <c r="W18" s="190"/>
      <c r="X18" s="190"/>
    </row>
    <row r="19" spans="1:24" ht="15.5" x14ac:dyDescent="0.35">
      <c r="A19" s="909" t="s">
        <v>964</v>
      </c>
      <c r="B19" s="906" t="s">
        <v>967</v>
      </c>
      <c r="C19" s="906" t="s">
        <v>968</v>
      </c>
      <c r="D19" s="910"/>
      <c r="E19" s="911">
        <v>22366</v>
      </c>
      <c r="F19" s="190"/>
      <c r="G19" s="912">
        <v>1831</v>
      </c>
      <c r="H19" s="190"/>
      <c r="I19" s="912">
        <v>5390</v>
      </c>
      <c r="J19" s="190"/>
      <c r="K19" s="920">
        <v>29587</v>
      </c>
      <c r="L19" s="190"/>
      <c r="M19" s="913">
        <v>22366</v>
      </c>
      <c r="N19" s="190"/>
      <c r="O19" s="190"/>
      <c r="P19" s="190"/>
      <c r="Q19" s="912">
        <v>1831</v>
      </c>
      <c r="R19" s="190"/>
      <c r="S19" s="912">
        <v>24197</v>
      </c>
      <c r="T19" s="908"/>
      <c r="U19" s="1088"/>
      <c r="V19" s="1089"/>
      <c r="W19" s="190"/>
      <c r="X19" s="190"/>
    </row>
    <row r="20" spans="1:24" ht="15.5" x14ac:dyDescent="0.35">
      <c r="A20" s="905"/>
      <c r="B20" s="906" t="s">
        <v>967</v>
      </c>
      <c r="C20" s="906" t="s">
        <v>969</v>
      </c>
      <c r="D20" s="190"/>
      <c r="E20" s="912">
        <v>22509</v>
      </c>
      <c r="F20" s="190"/>
      <c r="G20" s="912">
        <v>1850</v>
      </c>
      <c r="H20" s="190"/>
      <c r="I20" s="912">
        <v>5425</v>
      </c>
      <c r="J20" s="190"/>
      <c r="K20" s="912">
        <v>29784</v>
      </c>
      <c r="L20" s="190"/>
      <c r="M20" s="913">
        <v>22509</v>
      </c>
      <c r="N20" s="190"/>
      <c r="O20" s="190"/>
      <c r="P20" s="190"/>
      <c r="Q20" s="912">
        <v>1850</v>
      </c>
      <c r="R20" s="190"/>
      <c r="S20" s="912">
        <v>24359</v>
      </c>
      <c r="T20" s="908"/>
      <c r="U20" s="1088"/>
      <c r="V20" s="1089"/>
      <c r="W20" s="190"/>
      <c r="X20" s="190"/>
    </row>
    <row r="21" spans="1:24" ht="15.5" x14ac:dyDescent="0.35">
      <c r="A21" s="905"/>
      <c r="B21" s="906" t="s">
        <v>967</v>
      </c>
      <c r="C21" s="906" t="s">
        <v>970</v>
      </c>
      <c r="D21" s="190"/>
      <c r="E21" s="912">
        <v>22603</v>
      </c>
      <c r="F21" s="190"/>
      <c r="G21" s="912">
        <v>1863</v>
      </c>
      <c r="H21" s="190"/>
      <c r="I21" s="912">
        <v>5447</v>
      </c>
      <c r="J21" s="190"/>
      <c r="K21" s="912">
        <v>29913</v>
      </c>
      <c r="L21" s="190"/>
      <c r="M21" s="913">
        <v>22603</v>
      </c>
      <c r="N21" s="190"/>
      <c r="O21" s="190"/>
      <c r="P21" s="190"/>
      <c r="Q21" s="912">
        <v>1863</v>
      </c>
      <c r="R21" s="190"/>
      <c r="S21" s="912">
        <v>24466</v>
      </c>
      <c r="T21" s="908"/>
      <c r="U21" s="1088"/>
      <c r="V21" s="1089"/>
      <c r="W21" s="190"/>
      <c r="X21" s="190"/>
    </row>
    <row r="22" spans="1:24" ht="15.5" x14ac:dyDescent="0.35">
      <c r="A22" s="905" t="s">
        <v>971</v>
      </c>
      <c r="B22" s="906" t="s">
        <v>967</v>
      </c>
      <c r="C22" s="906" t="s">
        <v>972</v>
      </c>
      <c r="D22" s="910"/>
      <c r="E22" s="911">
        <v>22737</v>
      </c>
      <c r="F22" s="190"/>
      <c r="G22" s="912">
        <v>1882</v>
      </c>
      <c r="H22" s="190"/>
      <c r="I22" s="912">
        <v>5480</v>
      </c>
      <c r="J22" s="190"/>
      <c r="K22" s="912">
        <v>30099</v>
      </c>
      <c r="L22" s="190"/>
      <c r="M22" s="913">
        <v>22737</v>
      </c>
      <c r="N22" s="190"/>
      <c r="O22" s="190"/>
      <c r="P22" s="190"/>
      <c r="Q22" s="912">
        <v>1882</v>
      </c>
      <c r="R22" s="190"/>
      <c r="S22" s="912">
        <v>24619</v>
      </c>
      <c r="T22" s="908"/>
      <c r="U22" s="1088"/>
      <c r="V22" s="1089"/>
      <c r="W22" s="190"/>
      <c r="X22" s="190"/>
    </row>
    <row r="23" spans="1:24" ht="15.5" x14ac:dyDescent="0.35">
      <c r="A23" s="905" t="s">
        <v>971</v>
      </c>
      <c r="B23" s="906"/>
      <c r="C23" s="906" t="s">
        <v>973</v>
      </c>
      <c r="D23" s="190"/>
      <c r="E23" s="912">
        <v>23107</v>
      </c>
      <c r="F23" s="190"/>
      <c r="G23" s="912">
        <v>1933</v>
      </c>
      <c r="H23" s="190"/>
      <c r="I23" s="912">
        <v>5569</v>
      </c>
      <c r="J23" s="190"/>
      <c r="K23" s="912">
        <v>30609</v>
      </c>
      <c r="L23" s="190"/>
      <c r="M23" s="913">
        <v>23107</v>
      </c>
      <c r="N23" s="190"/>
      <c r="O23" s="190"/>
      <c r="P23" s="190"/>
      <c r="Q23" s="912">
        <v>1933</v>
      </c>
      <c r="R23" s="190"/>
      <c r="S23" s="912">
        <v>25040</v>
      </c>
      <c r="T23" s="908"/>
      <c r="U23" s="1088"/>
      <c r="V23" s="1089"/>
      <c r="W23" s="190"/>
      <c r="X23" s="190"/>
    </row>
    <row r="24" spans="1:24" ht="15.5" x14ac:dyDescent="0.35">
      <c r="A24" s="905" t="s">
        <v>971</v>
      </c>
      <c r="B24" s="906"/>
      <c r="C24" s="906" t="s">
        <v>974</v>
      </c>
      <c r="D24" s="190"/>
      <c r="E24" s="912">
        <v>23521</v>
      </c>
      <c r="F24" s="190"/>
      <c r="G24" s="912">
        <v>1990</v>
      </c>
      <c r="H24" s="190"/>
      <c r="I24" s="912">
        <v>5669</v>
      </c>
      <c r="J24" s="190"/>
      <c r="K24" s="912">
        <v>31180</v>
      </c>
      <c r="L24" s="190"/>
      <c r="M24" s="913">
        <v>23521</v>
      </c>
      <c r="N24" s="190"/>
      <c r="O24" s="190"/>
      <c r="P24" s="190"/>
      <c r="Q24" s="912">
        <v>1990</v>
      </c>
      <c r="R24" s="190"/>
      <c r="S24" s="912">
        <v>25511</v>
      </c>
      <c r="T24" s="908"/>
      <c r="U24" s="1088"/>
      <c r="V24" s="1089"/>
      <c r="W24" s="190"/>
      <c r="X24" s="190"/>
    </row>
    <row r="25" spans="1:24" ht="15.5" x14ac:dyDescent="0.35">
      <c r="A25" s="905" t="s">
        <v>971</v>
      </c>
      <c r="B25" s="906" t="s">
        <v>975</v>
      </c>
      <c r="C25" s="906" t="s">
        <v>976</v>
      </c>
      <c r="D25" s="910"/>
      <c r="E25" s="911">
        <v>23893</v>
      </c>
      <c r="F25" s="190"/>
      <c r="G25" s="912">
        <v>2041</v>
      </c>
      <c r="H25" s="190"/>
      <c r="I25" s="912">
        <v>5758</v>
      </c>
      <c r="J25" s="190"/>
      <c r="K25" s="912">
        <v>31692</v>
      </c>
      <c r="L25" s="190"/>
      <c r="M25" s="913">
        <v>23893</v>
      </c>
      <c r="N25" s="190"/>
      <c r="O25" s="190"/>
      <c r="P25" s="190"/>
      <c r="Q25" s="912">
        <v>2041</v>
      </c>
      <c r="R25" s="190"/>
      <c r="S25" s="912">
        <v>25934</v>
      </c>
      <c r="T25" s="908"/>
      <c r="U25" s="1088"/>
      <c r="V25" s="1089"/>
      <c r="W25" s="190"/>
      <c r="X25" s="190"/>
    </row>
    <row r="26" spans="1:24" ht="15.5" x14ac:dyDescent="0.35">
      <c r="A26" s="905"/>
      <c r="B26" s="906" t="s">
        <v>975</v>
      </c>
      <c r="C26" s="906" t="s">
        <v>977</v>
      </c>
      <c r="D26" s="190"/>
      <c r="E26" s="912">
        <v>23931</v>
      </c>
      <c r="F26" s="190"/>
      <c r="G26" s="912">
        <v>2047</v>
      </c>
      <c r="H26" s="190"/>
      <c r="I26" s="912">
        <v>5767</v>
      </c>
      <c r="J26" s="190"/>
      <c r="K26" s="912">
        <v>31745</v>
      </c>
      <c r="L26" s="190"/>
      <c r="M26" s="913">
        <v>23931</v>
      </c>
      <c r="N26" s="190"/>
      <c r="O26" s="190"/>
      <c r="P26" s="190"/>
      <c r="Q26" s="912">
        <v>2047</v>
      </c>
      <c r="R26" s="190"/>
      <c r="S26" s="912">
        <v>25978</v>
      </c>
      <c r="T26" s="908"/>
      <c r="U26" s="1088"/>
      <c r="V26" s="1089"/>
      <c r="W26" s="190"/>
      <c r="X26" s="190"/>
    </row>
    <row r="27" spans="1:24" ht="15.5" x14ac:dyDescent="0.35">
      <c r="A27" s="905"/>
      <c r="B27" s="906" t="s">
        <v>975</v>
      </c>
      <c r="C27" s="906" t="s">
        <v>978</v>
      </c>
      <c r="D27" s="190"/>
      <c r="E27" s="912">
        <v>24619</v>
      </c>
      <c r="F27" s="190"/>
      <c r="G27" s="912">
        <v>2142</v>
      </c>
      <c r="H27" s="190"/>
      <c r="I27" s="912">
        <v>5933</v>
      </c>
      <c r="J27" s="190"/>
      <c r="K27" s="912">
        <v>32694</v>
      </c>
      <c r="L27" s="190"/>
      <c r="M27" s="913">
        <v>24619</v>
      </c>
      <c r="N27" s="190"/>
      <c r="O27" s="190"/>
      <c r="P27" s="190"/>
      <c r="Q27" s="912">
        <v>2142</v>
      </c>
      <c r="R27" s="190"/>
      <c r="S27" s="912">
        <v>26761</v>
      </c>
      <c r="T27" s="908"/>
      <c r="U27" s="1088"/>
      <c r="V27" s="1089"/>
      <c r="W27" s="190"/>
      <c r="X27" s="190"/>
    </row>
    <row r="28" spans="1:24" ht="15.5" x14ac:dyDescent="0.35">
      <c r="A28" s="905" t="s">
        <v>979</v>
      </c>
      <c r="B28" s="906" t="s">
        <v>975</v>
      </c>
      <c r="C28" s="906" t="s">
        <v>980</v>
      </c>
      <c r="D28" s="910"/>
      <c r="E28" s="911">
        <v>25119</v>
      </c>
      <c r="F28" s="190"/>
      <c r="G28" s="912">
        <v>2211</v>
      </c>
      <c r="H28" s="190"/>
      <c r="I28" s="912">
        <v>6054</v>
      </c>
      <c r="J28" s="190"/>
      <c r="K28" s="912">
        <v>33384</v>
      </c>
      <c r="L28" s="190"/>
      <c r="M28" s="913">
        <v>25119</v>
      </c>
      <c r="N28" s="190"/>
      <c r="O28" s="190"/>
      <c r="P28" s="190"/>
      <c r="Q28" s="912">
        <v>2211</v>
      </c>
      <c r="R28" s="190"/>
      <c r="S28" s="912">
        <v>27330</v>
      </c>
      <c r="T28" s="908"/>
      <c r="U28" s="1088"/>
      <c r="V28" s="1089"/>
      <c r="W28" s="190"/>
      <c r="X28" s="190"/>
    </row>
    <row r="29" spans="1:24" ht="15.5" x14ac:dyDescent="0.35">
      <c r="A29" s="905" t="s">
        <v>979</v>
      </c>
      <c r="B29" s="906"/>
      <c r="C29" s="906" t="s">
        <v>981</v>
      </c>
      <c r="D29" s="190"/>
      <c r="E29" s="912">
        <v>25961</v>
      </c>
      <c r="F29" s="190"/>
      <c r="G29" s="912">
        <v>2327</v>
      </c>
      <c r="H29" s="190"/>
      <c r="I29" s="912">
        <v>6257</v>
      </c>
      <c r="J29" s="190"/>
      <c r="K29" s="912">
        <v>34545</v>
      </c>
      <c r="L29" s="190"/>
      <c r="M29" s="913">
        <v>25961</v>
      </c>
      <c r="N29" s="190"/>
      <c r="O29" s="190"/>
      <c r="P29" s="190"/>
      <c r="Q29" s="912">
        <v>2327</v>
      </c>
      <c r="R29" s="190"/>
      <c r="S29" s="912">
        <v>28288</v>
      </c>
      <c r="T29" s="908"/>
      <c r="U29" s="1088"/>
      <c r="V29" s="1089"/>
      <c r="W29" s="190"/>
      <c r="X29" s="190"/>
    </row>
    <row r="30" spans="1:24" ht="15.5" x14ac:dyDescent="0.35">
      <c r="A30" s="905" t="s">
        <v>979</v>
      </c>
      <c r="B30" s="906"/>
      <c r="C30" s="906" t="s">
        <v>982</v>
      </c>
      <c r="D30" s="190"/>
      <c r="E30" s="912">
        <v>26884</v>
      </c>
      <c r="F30" s="190"/>
      <c r="G30" s="912">
        <v>2454</v>
      </c>
      <c r="H30" s="190"/>
      <c r="I30" s="912">
        <v>6479</v>
      </c>
      <c r="J30" s="190"/>
      <c r="K30" s="912">
        <v>35817</v>
      </c>
      <c r="L30" s="190"/>
      <c r="M30" s="913">
        <v>26884</v>
      </c>
      <c r="N30" s="190"/>
      <c r="O30" s="190"/>
      <c r="P30" s="190"/>
      <c r="Q30" s="912">
        <v>2454</v>
      </c>
      <c r="R30" s="190"/>
      <c r="S30" s="912">
        <v>29338</v>
      </c>
      <c r="T30" s="908"/>
      <c r="U30" s="1088"/>
      <c r="V30" s="1089"/>
      <c r="W30" s="190"/>
      <c r="X30" s="190"/>
    </row>
    <row r="31" spans="1:24" ht="15.5" x14ac:dyDescent="0.35">
      <c r="A31" s="905" t="s">
        <v>979</v>
      </c>
      <c r="B31" s="906" t="s">
        <v>983</v>
      </c>
      <c r="C31" s="906" t="s">
        <v>984</v>
      </c>
      <c r="D31" s="910"/>
      <c r="E31" s="911">
        <v>27803</v>
      </c>
      <c r="F31" s="190"/>
      <c r="G31" s="912">
        <v>2581</v>
      </c>
      <c r="H31" s="190"/>
      <c r="I31" s="912">
        <v>6701</v>
      </c>
      <c r="J31" s="190"/>
      <c r="K31" s="912">
        <v>37085</v>
      </c>
      <c r="L31" s="190"/>
      <c r="M31" s="913">
        <v>27803</v>
      </c>
      <c r="N31" s="190"/>
      <c r="O31" s="190"/>
      <c r="P31" s="190"/>
      <c r="Q31" s="912">
        <v>2581</v>
      </c>
      <c r="R31" s="190"/>
      <c r="S31" s="912">
        <v>30384</v>
      </c>
      <c r="T31" s="908"/>
      <c r="U31" s="1088"/>
      <c r="V31" s="1089"/>
      <c r="W31" s="190"/>
      <c r="X31" s="190"/>
    </row>
    <row r="32" spans="1:24" ht="15.5" x14ac:dyDescent="0.35">
      <c r="A32" s="905"/>
      <c r="B32" s="906" t="s">
        <v>983</v>
      </c>
      <c r="C32" s="906" t="s">
        <v>985</v>
      </c>
      <c r="D32" s="190"/>
      <c r="E32" s="912">
        <v>28609</v>
      </c>
      <c r="F32" s="190"/>
      <c r="G32" s="912">
        <v>2692</v>
      </c>
      <c r="H32" s="190"/>
      <c r="I32" s="912">
        <v>6895</v>
      </c>
      <c r="J32" s="190"/>
      <c r="K32" s="912">
        <v>38196</v>
      </c>
      <c r="L32" s="190"/>
      <c r="M32" s="913">
        <v>28609</v>
      </c>
      <c r="N32" s="190"/>
      <c r="O32" s="190"/>
      <c r="P32" s="190"/>
      <c r="Q32" s="912">
        <v>2692</v>
      </c>
      <c r="R32" s="190"/>
      <c r="S32" s="912">
        <v>31301</v>
      </c>
      <c r="T32" s="908"/>
      <c r="U32" s="1088"/>
      <c r="V32" s="1089"/>
      <c r="W32" s="190"/>
      <c r="X32" s="190"/>
    </row>
    <row r="33" spans="1:24" ht="15.5" x14ac:dyDescent="0.35">
      <c r="A33" s="905"/>
      <c r="B33" s="906" t="s">
        <v>983</v>
      </c>
      <c r="C33" s="906" t="s">
        <v>986</v>
      </c>
      <c r="D33" s="190"/>
      <c r="E33" s="912">
        <v>29413</v>
      </c>
      <c r="F33" s="190"/>
      <c r="G33" s="912">
        <v>2803</v>
      </c>
      <c r="H33" s="190"/>
      <c r="I33" s="912">
        <v>7089</v>
      </c>
      <c r="J33" s="190"/>
      <c r="K33" s="912">
        <v>39305</v>
      </c>
      <c r="L33" s="190"/>
      <c r="M33" s="913">
        <v>29413</v>
      </c>
      <c r="N33" s="190"/>
      <c r="O33" s="190"/>
      <c r="P33" s="190"/>
      <c r="Q33" s="912">
        <v>2803</v>
      </c>
      <c r="R33" s="190"/>
      <c r="S33" s="912">
        <v>32216</v>
      </c>
      <c r="T33" s="908"/>
      <c r="U33" s="1088"/>
      <c r="V33" s="1089"/>
      <c r="W33" s="190"/>
      <c r="X33" s="190"/>
    </row>
    <row r="34" spans="1:24" ht="15.5" x14ac:dyDescent="0.35">
      <c r="A34" s="905" t="s">
        <v>987</v>
      </c>
      <c r="B34" s="906" t="s">
        <v>983</v>
      </c>
      <c r="C34" s="906" t="s">
        <v>988</v>
      </c>
      <c r="D34" s="910"/>
      <c r="E34" s="911">
        <v>30296</v>
      </c>
      <c r="F34" s="190"/>
      <c r="G34" s="912">
        <v>2925</v>
      </c>
      <c r="H34" s="190"/>
      <c r="I34" s="912">
        <v>7301</v>
      </c>
      <c r="J34" s="190"/>
      <c r="K34" s="912">
        <v>40522</v>
      </c>
      <c r="L34" s="190"/>
      <c r="M34" s="913">
        <v>30296</v>
      </c>
      <c r="N34" s="190"/>
      <c r="O34" s="190"/>
      <c r="P34" s="190"/>
      <c r="Q34" s="912">
        <v>2925</v>
      </c>
      <c r="R34" s="190"/>
      <c r="S34" s="912">
        <v>33221</v>
      </c>
      <c r="T34" s="908"/>
      <c r="U34" s="1088"/>
      <c r="V34" s="1089"/>
      <c r="W34" s="190"/>
      <c r="X34" s="190"/>
    </row>
    <row r="35" spans="1:24" ht="15.5" x14ac:dyDescent="0.35">
      <c r="A35" s="905" t="s">
        <v>987</v>
      </c>
      <c r="B35" s="906"/>
      <c r="C35" s="906" t="s">
        <v>989</v>
      </c>
      <c r="D35" s="190"/>
      <c r="E35" s="912">
        <v>31104</v>
      </c>
      <c r="F35" s="190"/>
      <c r="G35" s="912">
        <v>3037</v>
      </c>
      <c r="H35" s="190"/>
      <c r="I35" s="912">
        <v>7496</v>
      </c>
      <c r="J35" s="190"/>
      <c r="K35" s="912">
        <v>41637</v>
      </c>
      <c r="L35" s="190"/>
      <c r="M35" s="913">
        <v>31104</v>
      </c>
      <c r="N35" s="190"/>
      <c r="O35" s="190"/>
      <c r="P35" s="190"/>
      <c r="Q35" s="912">
        <v>3037</v>
      </c>
      <c r="R35" s="190"/>
      <c r="S35" s="912">
        <v>34141</v>
      </c>
      <c r="T35" s="908"/>
      <c r="U35" s="1088"/>
      <c r="V35" s="1089"/>
      <c r="W35" s="190"/>
      <c r="X35" s="190"/>
    </row>
    <row r="36" spans="1:24" ht="15.5" x14ac:dyDescent="0.35">
      <c r="A36" s="905" t="s">
        <v>987</v>
      </c>
      <c r="B36" s="906"/>
      <c r="C36" s="906" t="s">
        <v>990</v>
      </c>
      <c r="D36" s="190"/>
      <c r="E36" s="912">
        <v>32064</v>
      </c>
      <c r="F36" s="190"/>
      <c r="G36" s="912">
        <v>3169</v>
      </c>
      <c r="H36" s="190"/>
      <c r="I36" s="912">
        <v>7727</v>
      </c>
      <c r="J36" s="190"/>
      <c r="K36" s="912">
        <v>42960</v>
      </c>
      <c r="L36" s="190"/>
      <c r="M36" s="913">
        <v>32064</v>
      </c>
      <c r="N36" s="190"/>
      <c r="O36" s="190"/>
      <c r="P36" s="190"/>
      <c r="Q36" s="912">
        <v>3169</v>
      </c>
      <c r="R36" s="190"/>
      <c r="S36" s="912">
        <v>35233</v>
      </c>
      <c r="T36" s="908"/>
      <c r="U36" s="1088"/>
      <c r="V36" s="1089"/>
      <c r="W36" s="190"/>
      <c r="X36" s="190"/>
    </row>
    <row r="37" spans="1:24" ht="15.5" x14ac:dyDescent="0.35">
      <c r="A37" s="905" t="s">
        <v>987</v>
      </c>
      <c r="B37" s="906" t="s">
        <v>991</v>
      </c>
      <c r="C37" s="906" t="s">
        <v>992</v>
      </c>
      <c r="D37" s="910"/>
      <c r="E37" s="911">
        <v>33024</v>
      </c>
      <c r="F37" s="190"/>
      <c r="G37" s="912">
        <v>3302</v>
      </c>
      <c r="H37" s="190"/>
      <c r="I37" s="912">
        <v>7959</v>
      </c>
      <c r="J37" s="190"/>
      <c r="K37" s="912">
        <v>44285</v>
      </c>
      <c r="L37" s="190"/>
      <c r="M37" s="913">
        <v>33024</v>
      </c>
      <c r="N37" s="190"/>
      <c r="O37" s="190"/>
      <c r="P37" s="190"/>
      <c r="Q37" s="912">
        <v>3302</v>
      </c>
      <c r="R37" s="190"/>
      <c r="S37" s="912">
        <v>36326</v>
      </c>
      <c r="T37" s="908"/>
      <c r="U37" s="1088"/>
      <c r="V37" s="1089"/>
      <c r="W37" s="190"/>
      <c r="X37" s="190"/>
    </row>
    <row r="38" spans="1:24" ht="15.5" x14ac:dyDescent="0.35">
      <c r="A38" s="905"/>
      <c r="B38" s="906" t="s">
        <v>991</v>
      </c>
      <c r="C38" s="906" t="s">
        <v>993</v>
      </c>
      <c r="D38" s="190"/>
      <c r="E38" s="912">
        <v>34294</v>
      </c>
      <c r="F38" s="190"/>
      <c r="G38" s="912">
        <v>3477</v>
      </c>
      <c r="H38" s="190"/>
      <c r="I38" s="912">
        <v>8265</v>
      </c>
      <c r="J38" s="190"/>
      <c r="K38" s="912">
        <v>46036</v>
      </c>
      <c r="L38" s="190"/>
      <c r="M38" s="913">
        <v>34294</v>
      </c>
      <c r="N38" s="190"/>
      <c r="O38" s="190"/>
      <c r="P38" s="190"/>
      <c r="Q38" s="912">
        <v>3477</v>
      </c>
      <c r="R38" s="190"/>
      <c r="S38" s="912">
        <v>37771</v>
      </c>
      <c r="T38" s="908"/>
      <c r="U38" s="1088"/>
      <c r="V38" s="1089"/>
      <c r="W38" s="190"/>
      <c r="X38" s="190"/>
    </row>
    <row r="39" spans="1:24" ht="15.5" x14ac:dyDescent="0.35">
      <c r="A39" s="905"/>
      <c r="B39" s="906" t="s">
        <v>991</v>
      </c>
      <c r="C39" s="906" t="s">
        <v>994</v>
      </c>
      <c r="D39" s="190"/>
      <c r="E39" s="912">
        <v>35446</v>
      </c>
      <c r="F39" s="190"/>
      <c r="G39" s="912">
        <v>3636</v>
      </c>
      <c r="H39" s="190"/>
      <c r="I39" s="912">
        <v>8542</v>
      </c>
      <c r="J39" s="190"/>
      <c r="K39" s="912">
        <v>47624</v>
      </c>
      <c r="L39" s="190"/>
      <c r="M39" s="913">
        <v>35446</v>
      </c>
      <c r="N39" s="190"/>
      <c r="O39" s="190"/>
      <c r="P39" s="190"/>
      <c r="Q39" s="912">
        <v>3636</v>
      </c>
      <c r="R39" s="190"/>
      <c r="S39" s="912">
        <v>39082</v>
      </c>
      <c r="T39" s="908"/>
      <c r="U39" s="1088"/>
      <c r="V39" s="1089"/>
      <c r="W39" s="190"/>
      <c r="X39" s="190"/>
    </row>
    <row r="40" spans="1:24" ht="15.5" x14ac:dyDescent="0.35">
      <c r="A40" s="905" t="s">
        <v>995</v>
      </c>
      <c r="B40" s="906" t="s">
        <v>991</v>
      </c>
      <c r="C40" s="906" t="s">
        <v>996</v>
      </c>
      <c r="D40" s="910"/>
      <c r="E40" s="911">
        <v>36648</v>
      </c>
      <c r="F40" s="190"/>
      <c r="G40" s="912">
        <v>3802</v>
      </c>
      <c r="H40" s="190"/>
      <c r="I40" s="912">
        <v>8832</v>
      </c>
      <c r="J40" s="190"/>
      <c r="K40" s="912">
        <v>49282</v>
      </c>
      <c r="L40" s="190"/>
      <c r="M40" s="913">
        <v>36648</v>
      </c>
      <c r="N40" s="190"/>
      <c r="O40" s="190"/>
      <c r="P40" s="190"/>
      <c r="Q40" s="912">
        <v>3802</v>
      </c>
      <c r="R40" s="190"/>
      <c r="S40" s="912">
        <v>40450</v>
      </c>
      <c r="T40" s="908"/>
      <c r="U40" s="1088"/>
      <c r="V40" s="1089"/>
      <c r="W40" s="190"/>
      <c r="X40" s="190"/>
    </row>
    <row r="41" spans="1:24" ht="15.5" x14ac:dyDescent="0.35">
      <c r="A41" s="905" t="s">
        <v>995</v>
      </c>
      <c r="B41" s="906"/>
      <c r="C41" s="906" t="s">
        <v>997</v>
      </c>
      <c r="D41" s="190"/>
      <c r="E41" s="912">
        <v>37847</v>
      </c>
      <c r="F41" s="190"/>
      <c r="G41" s="912">
        <v>3967</v>
      </c>
      <c r="H41" s="190"/>
      <c r="I41" s="912">
        <v>9121</v>
      </c>
      <c r="J41" s="190"/>
      <c r="K41" s="912">
        <v>50935</v>
      </c>
      <c r="L41" s="190"/>
      <c r="M41" s="913">
        <v>37847</v>
      </c>
      <c r="N41" s="190"/>
      <c r="O41" s="190"/>
      <c r="P41" s="190"/>
      <c r="Q41" s="912">
        <v>3967</v>
      </c>
      <c r="R41" s="190"/>
      <c r="S41" s="912">
        <v>41814</v>
      </c>
      <c r="T41" s="908"/>
      <c r="U41" s="1088"/>
      <c r="V41" s="1089"/>
      <c r="W41" s="190"/>
      <c r="X41" s="190"/>
    </row>
    <row r="42" spans="1:24" ht="15.5" x14ac:dyDescent="0.35">
      <c r="A42" s="905" t="s">
        <v>995</v>
      </c>
      <c r="B42" s="906"/>
      <c r="C42" s="906" t="s">
        <v>998</v>
      </c>
      <c r="D42" s="190"/>
      <c r="E42" s="912">
        <v>39031</v>
      </c>
      <c r="F42" s="190"/>
      <c r="G42" s="912">
        <v>4130</v>
      </c>
      <c r="H42" s="190"/>
      <c r="I42" s="912">
        <v>9406</v>
      </c>
      <c r="J42" s="190"/>
      <c r="K42" s="912">
        <v>52567</v>
      </c>
      <c r="L42" s="190"/>
      <c r="M42" s="913">
        <v>39031</v>
      </c>
      <c r="N42" s="190"/>
      <c r="O42" s="190"/>
      <c r="P42" s="190"/>
      <c r="Q42" s="912">
        <v>4130</v>
      </c>
      <c r="R42" s="190"/>
      <c r="S42" s="912">
        <v>43161</v>
      </c>
      <c r="T42" s="908"/>
      <c r="U42" s="1088"/>
      <c r="V42" s="1089"/>
      <c r="W42" s="190"/>
      <c r="X42" s="190"/>
    </row>
    <row r="43" spans="1:24" ht="15.5" x14ac:dyDescent="0.35">
      <c r="A43" s="905" t="s">
        <v>995</v>
      </c>
      <c r="B43" s="906" t="s">
        <v>999</v>
      </c>
      <c r="C43" s="906" t="s">
        <v>1000</v>
      </c>
      <c r="D43" s="910"/>
      <c r="E43" s="911">
        <v>40221</v>
      </c>
      <c r="F43" s="190"/>
      <c r="G43" s="912">
        <v>4295</v>
      </c>
      <c r="H43" s="190"/>
      <c r="I43" s="912">
        <v>9693</v>
      </c>
      <c r="J43" s="190"/>
      <c r="K43" s="912">
        <v>54209</v>
      </c>
      <c r="L43" s="190"/>
      <c r="M43" s="913">
        <v>40221</v>
      </c>
      <c r="N43" s="190"/>
      <c r="O43" s="190"/>
      <c r="P43" s="190"/>
      <c r="Q43" s="912">
        <v>4295</v>
      </c>
      <c r="R43" s="190"/>
      <c r="S43" s="912">
        <v>44516</v>
      </c>
      <c r="T43" s="908"/>
      <c r="U43" s="1088"/>
      <c r="V43" s="1089"/>
      <c r="W43" s="190"/>
      <c r="X43" s="190"/>
    </row>
    <row r="44" spans="1:24" ht="15.5" x14ac:dyDescent="0.35">
      <c r="A44" s="905"/>
      <c r="B44" s="906" t="s">
        <v>999</v>
      </c>
      <c r="C44" s="906" t="s">
        <v>1001</v>
      </c>
      <c r="D44" s="190"/>
      <c r="E44" s="912">
        <v>41623</v>
      </c>
      <c r="F44" s="190"/>
      <c r="G44" s="912">
        <v>4488</v>
      </c>
      <c r="H44" s="190"/>
      <c r="I44" s="912">
        <v>10031</v>
      </c>
      <c r="J44" s="190"/>
      <c r="K44" s="912">
        <v>56142</v>
      </c>
      <c r="L44" s="190"/>
      <c r="M44" s="913">
        <v>41623</v>
      </c>
      <c r="N44" s="190"/>
      <c r="O44" s="190"/>
      <c r="P44" s="190"/>
      <c r="Q44" s="912">
        <v>4488</v>
      </c>
      <c r="R44" s="190"/>
      <c r="S44" s="912">
        <v>46111</v>
      </c>
      <c r="T44" s="908"/>
      <c r="U44" s="1088"/>
      <c r="V44" s="1089"/>
      <c r="W44" s="190"/>
      <c r="X44" s="190"/>
    </row>
    <row r="45" spans="1:24" ht="15.5" x14ac:dyDescent="0.35">
      <c r="A45" s="905"/>
      <c r="B45" s="906" t="s">
        <v>999</v>
      </c>
      <c r="C45" s="906" t="s">
        <v>1002</v>
      </c>
      <c r="D45" s="190"/>
      <c r="E45" s="912">
        <v>43026</v>
      </c>
      <c r="F45" s="190"/>
      <c r="G45" s="912">
        <v>4682</v>
      </c>
      <c r="H45" s="190"/>
      <c r="I45" s="912">
        <v>10369</v>
      </c>
      <c r="J45" s="190"/>
      <c r="K45" s="912">
        <v>58077</v>
      </c>
      <c r="L45" s="190"/>
      <c r="M45" s="913">
        <v>43026</v>
      </c>
      <c r="N45" s="190"/>
      <c r="O45" s="190"/>
      <c r="P45" s="190"/>
      <c r="Q45" s="912">
        <v>4682</v>
      </c>
      <c r="R45" s="190"/>
      <c r="S45" s="912">
        <v>47708</v>
      </c>
      <c r="T45" s="908"/>
      <c r="U45" s="1088"/>
      <c r="V45" s="1089"/>
      <c r="W45" s="190"/>
      <c r="X45" s="190"/>
    </row>
    <row r="46" spans="1:24" ht="15.5" x14ac:dyDescent="0.35">
      <c r="A46" s="905" t="s">
        <v>1003</v>
      </c>
      <c r="B46" s="906" t="s">
        <v>999</v>
      </c>
      <c r="C46" s="906" t="s">
        <v>1004</v>
      </c>
      <c r="D46" s="910"/>
      <c r="E46" s="911">
        <v>44428</v>
      </c>
      <c r="F46" s="190"/>
      <c r="G46" s="912">
        <v>4875</v>
      </c>
      <c r="H46" s="190"/>
      <c r="I46" s="912">
        <v>10707</v>
      </c>
      <c r="J46" s="190"/>
      <c r="K46" s="912">
        <v>60010</v>
      </c>
      <c r="L46" s="190"/>
      <c r="M46" s="913">
        <v>44428</v>
      </c>
      <c r="N46" s="190"/>
      <c r="O46" s="190"/>
      <c r="P46" s="190"/>
      <c r="Q46" s="912">
        <v>4875</v>
      </c>
      <c r="R46" s="190"/>
      <c r="S46" s="912">
        <v>49303</v>
      </c>
      <c r="T46" s="908"/>
      <c r="U46" s="1088"/>
      <c r="V46" s="1089"/>
      <c r="W46" s="190"/>
      <c r="X46" s="190"/>
    </row>
    <row r="47" spans="1:24" ht="15.5" x14ac:dyDescent="0.35">
      <c r="A47" s="905" t="s">
        <v>1003</v>
      </c>
      <c r="B47" s="906"/>
      <c r="C47" s="906" t="s">
        <v>1005</v>
      </c>
      <c r="D47" s="190"/>
      <c r="E47" s="912">
        <v>46118</v>
      </c>
      <c r="F47" s="190"/>
      <c r="G47" s="912">
        <v>5108</v>
      </c>
      <c r="H47" s="190"/>
      <c r="I47" s="912">
        <v>11114</v>
      </c>
      <c r="J47" s="190"/>
      <c r="K47" s="912">
        <v>62340</v>
      </c>
      <c r="L47" s="190"/>
      <c r="M47" s="913">
        <v>46118</v>
      </c>
      <c r="N47" s="190"/>
      <c r="O47" s="190"/>
      <c r="P47" s="190"/>
      <c r="Q47" s="912">
        <v>5108</v>
      </c>
      <c r="R47" s="190"/>
      <c r="S47" s="912">
        <v>51226</v>
      </c>
      <c r="T47" s="908"/>
      <c r="U47" s="1088"/>
      <c r="V47" s="1089"/>
      <c r="W47" s="190"/>
      <c r="X47" s="190"/>
    </row>
    <row r="48" spans="1:24" ht="15.5" x14ac:dyDescent="0.35">
      <c r="A48" s="905" t="s">
        <v>1003</v>
      </c>
      <c r="B48" s="906"/>
      <c r="C48" s="906" t="s">
        <v>1006</v>
      </c>
      <c r="D48" s="190"/>
      <c r="E48" s="912">
        <v>47807</v>
      </c>
      <c r="F48" s="190"/>
      <c r="G48" s="912">
        <v>5342</v>
      </c>
      <c r="H48" s="190"/>
      <c r="I48" s="912">
        <v>11521</v>
      </c>
      <c r="J48" s="190"/>
      <c r="K48" s="912">
        <v>64670</v>
      </c>
      <c r="L48" s="190"/>
      <c r="M48" s="913">
        <v>47807</v>
      </c>
      <c r="N48" s="190"/>
      <c r="O48" s="190"/>
      <c r="P48" s="190"/>
      <c r="Q48" s="912">
        <v>5342</v>
      </c>
      <c r="R48" s="190"/>
      <c r="S48" s="912">
        <v>53149</v>
      </c>
      <c r="T48" s="908"/>
      <c r="U48" s="1088"/>
      <c r="V48" s="1089"/>
      <c r="W48" s="190"/>
      <c r="X48" s="190"/>
    </row>
    <row r="49" spans="1:24" ht="15.5" x14ac:dyDescent="0.35">
      <c r="A49" s="909" t="s">
        <v>1003</v>
      </c>
      <c r="B49" s="906" t="s">
        <v>1007</v>
      </c>
      <c r="C49" s="906" t="s">
        <v>1008</v>
      </c>
      <c r="D49" s="910"/>
      <c r="E49" s="911">
        <v>49919</v>
      </c>
      <c r="F49" s="190"/>
      <c r="G49" s="912">
        <v>5633</v>
      </c>
      <c r="H49" s="190"/>
      <c r="I49" s="912">
        <v>12030</v>
      </c>
      <c r="J49" s="190"/>
      <c r="K49" s="912">
        <v>67582</v>
      </c>
      <c r="L49" s="190"/>
      <c r="M49" s="913">
        <v>49919</v>
      </c>
      <c r="N49" s="190"/>
      <c r="O49" s="190"/>
      <c r="P49" s="190"/>
      <c r="Q49" s="912">
        <v>5633</v>
      </c>
      <c r="R49" s="190"/>
      <c r="S49" s="912">
        <v>55552</v>
      </c>
      <c r="T49" s="908"/>
      <c r="U49" s="1088"/>
      <c r="V49" s="1089"/>
      <c r="W49" s="190"/>
      <c r="X49" s="190"/>
    </row>
    <row r="50" spans="1:24" ht="15.5" x14ac:dyDescent="0.35">
      <c r="A50" s="914"/>
      <c r="B50" s="906" t="s">
        <v>1007</v>
      </c>
      <c r="C50" s="906" t="s">
        <v>1009</v>
      </c>
      <c r="D50" s="190"/>
      <c r="E50" s="912">
        <v>51868</v>
      </c>
      <c r="F50" s="190"/>
      <c r="G50" s="912">
        <v>5902</v>
      </c>
      <c r="H50" s="190"/>
      <c r="I50" s="912">
        <v>12500</v>
      </c>
      <c r="J50" s="190"/>
      <c r="K50" s="912">
        <v>70270</v>
      </c>
      <c r="L50" s="190"/>
      <c r="M50" s="913">
        <v>51868</v>
      </c>
      <c r="N50" s="190"/>
      <c r="O50" s="190"/>
      <c r="P50" s="190"/>
      <c r="Q50" s="912">
        <v>5902</v>
      </c>
      <c r="R50" s="190"/>
      <c r="S50" s="912">
        <v>57770</v>
      </c>
      <c r="T50" s="908"/>
      <c r="U50" s="1088"/>
      <c r="V50" s="1089"/>
      <c r="W50" s="190"/>
      <c r="X50" s="190"/>
    </row>
    <row r="51" spans="1:24" ht="15.5" x14ac:dyDescent="0.35">
      <c r="A51" s="909"/>
      <c r="B51" s="906" t="s">
        <v>1007</v>
      </c>
      <c r="C51" s="906" t="s">
        <v>1010</v>
      </c>
      <c r="D51" s="190"/>
      <c r="E51" s="912">
        <v>54318</v>
      </c>
      <c r="F51" s="190"/>
      <c r="G51" s="912">
        <v>6240</v>
      </c>
      <c r="H51" s="190"/>
      <c r="I51" s="912">
        <v>13091</v>
      </c>
      <c r="J51" s="190"/>
      <c r="K51" s="912">
        <v>73649</v>
      </c>
      <c r="L51" s="190"/>
      <c r="M51" s="913">
        <v>54318</v>
      </c>
      <c r="N51" s="190"/>
      <c r="O51" s="190"/>
      <c r="P51" s="190"/>
      <c r="Q51" s="912">
        <v>6240</v>
      </c>
      <c r="R51" s="190"/>
      <c r="S51" s="912">
        <v>60558</v>
      </c>
      <c r="T51" s="908"/>
      <c r="U51" s="1088"/>
      <c r="V51" s="1089"/>
      <c r="W51" s="190"/>
      <c r="X51" s="190"/>
    </row>
    <row r="52" spans="1:24" ht="15.5" x14ac:dyDescent="0.35">
      <c r="A52" s="909" t="s">
        <v>1011</v>
      </c>
      <c r="B52" s="906" t="s">
        <v>1007</v>
      </c>
      <c r="C52" s="906" t="s">
        <v>1012</v>
      </c>
      <c r="D52" s="190"/>
      <c r="E52" s="912">
        <v>56769</v>
      </c>
      <c r="F52" s="190"/>
      <c r="G52" s="912">
        <v>6578</v>
      </c>
      <c r="H52" s="190"/>
      <c r="I52" s="912">
        <v>13681</v>
      </c>
      <c r="J52" s="190"/>
      <c r="K52" s="912">
        <v>77028</v>
      </c>
      <c r="L52" s="190"/>
      <c r="M52" s="913">
        <v>56769</v>
      </c>
      <c r="N52" s="190"/>
      <c r="O52" s="190"/>
      <c r="P52" s="190"/>
      <c r="Q52" s="912">
        <v>6578</v>
      </c>
      <c r="R52" s="190"/>
      <c r="S52" s="912">
        <v>63347</v>
      </c>
      <c r="T52" s="908"/>
      <c r="U52" s="1088"/>
      <c r="V52" s="1089"/>
      <c r="W52" s="190"/>
      <c r="X52" s="190"/>
    </row>
    <row r="53" spans="1:24" ht="15.5" x14ac:dyDescent="0.35">
      <c r="A53" s="909" t="s">
        <v>1011</v>
      </c>
      <c r="B53" s="906"/>
      <c r="C53" s="906" t="s">
        <v>1013</v>
      </c>
      <c r="D53" s="190"/>
      <c r="E53" s="912">
        <v>58606</v>
      </c>
      <c r="F53" s="190"/>
      <c r="G53" s="912">
        <v>6832</v>
      </c>
      <c r="H53" s="190"/>
      <c r="I53" s="912">
        <v>14124</v>
      </c>
      <c r="J53" s="190"/>
      <c r="K53" s="912">
        <v>79562</v>
      </c>
      <c r="L53" s="190"/>
      <c r="M53" s="913">
        <v>58606</v>
      </c>
      <c r="N53" s="190"/>
      <c r="O53" s="190"/>
      <c r="P53" s="190"/>
      <c r="Q53" s="912">
        <v>6832</v>
      </c>
      <c r="R53" s="190"/>
      <c r="S53" s="912">
        <v>65438</v>
      </c>
      <c r="T53" s="908"/>
      <c r="U53" s="1088"/>
      <c r="V53" s="1089"/>
      <c r="W53" s="190"/>
      <c r="X53" s="190"/>
    </row>
    <row r="54" spans="1:24" ht="15.5" x14ac:dyDescent="0.35">
      <c r="A54" s="909" t="s">
        <v>1011</v>
      </c>
      <c r="B54" s="906"/>
      <c r="C54" s="906" t="s">
        <v>1014</v>
      </c>
      <c r="D54" s="190"/>
      <c r="E54" s="912">
        <v>60443</v>
      </c>
      <c r="F54" s="190"/>
      <c r="G54" s="912">
        <v>7085</v>
      </c>
      <c r="H54" s="190"/>
      <c r="I54" s="912">
        <v>14567</v>
      </c>
      <c r="J54" s="190"/>
      <c r="K54" s="912">
        <v>82095</v>
      </c>
      <c r="L54" s="190"/>
      <c r="M54" s="913">
        <v>60443</v>
      </c>
      <c r="N54" s="190"/>
      <c r="O54" s="190"/>
      <c r="P54" s="190"/>
      <c r="Q54" s="912">
        <v>7085</v>
      </c>
      <c r="R54" s="190"/>
      <c r="S54" s="912">
        <v>67528</v>
      </c>
      <c r="T54" s="908"/>
      <c r="U54" s="1088"/>
      <c r="V54" s="1089"/>
      <c r="W54" s="190"/>
      <c r="X54" s="190"/>
    </row>
    <row r="55" spans="1:24" ht="15.5" x14ac:dyDescent="0.35">
      <c r="A55" s="909" t="s">
        <v>1011</v>
      </c>
      <c r="B55" s="906" t="s">
        <v>1015</v>
      </c>
      <c r="C55" s="906" t="s">
        <v>1016</v>
      </c>
      <c r="D55" s="190"/>
      <c r="E55" s="912">
        <v>62278</v>
      </c>
      <c r="F55" s="190"/>
      <c r="G55" s="912">
        <v>7339</v>
      </c>
      <c r="H55" s="190"/>
      <c r="I55" s="912">
        <v>15009</v>
      </c>
      <c r="J55" s="190"/>
      <c r="K55" s="912">
        <v>84626</v>
      </c>
      <c r="L55" s="190"/>
      <c r="M55" s="913">
        <v>62278</v>
      </c>
      <c r="N55" s="190"/>
      <c r="O55" s="190"/>
      <c r="P55" s="190"/>
      <c r="Q55" s="912">
        <v>7339</v>
      </c>
      <c r="R55" s="190"/>
      <c r="S55" s="912">
        <v>69617</v>
      </c>
      <c r="T55" s="908"/>
      <c r="U55" s="1088"/>
      <c r="V55" s="1089"/>
      <c r="W55" s="190"/>
      <c r="X55" s="190"/>
    </row>
    <row r="56" spans="1:24" ht="15.5" x14ac:dyDescent="0.35">
      <c r="A56" s="909"/>
      <c r="B56" s="906" t="s">
        <v>1015</v>
      </c>
      <c r="C56" s="906" t="s">
        <v>1017</v>
      </c>
      <c r="D56" s="190"/>
      <c r="E56" s="912">
        <v>64115</v>
      </c>
      <c r="F56" s="190"/>
      <c r="G56" s="912">
        <v>7592</v>
      </c>
      <c r="H56" s="190"/>
      <c r="I56" s="912">
        <v>15452</v>
      </c>
      <c r="J56" s="190"/>
      <c r="K56" s="912">
        <v>87159</v>
      </c>
      <c r="L56" s="190"/>
      <c r="M56" s="913">
        <v>64115</v>
      </c>
      <c r="N56" s="190"/>
      <c r="O56" s="190"/>
      <c r="P56" s="190"/>
      <c r="Q56" s="912">
        <v>7592</v>
      </c>
      <c r="R56" s="190"/>
      <c r="S56" s="912">
        <v>71707</v>
      </c>
      <c r="T56" s="908"/>
      <c r="U56" s="1088"/>
      <c r="V56" s="1089"/>
      <c r="W56" s="190"/>
      <c r="X56" s="190"/>
    </row>
    <row r="57" spans="1:24" ht="15.5" x14ac:dyDescent="0.35">
      <c r="A57" s="909"/>
      <c r="B57" s="906" t="s">
        <v>1015</v>
      </c>
      <c r="C57" s="906" t="s">
        <v>1018</v>
      </c>
      <c r="D57" s="190"/>
      <c r="E57" s="912">
        <v>65953</v>
      </c>
      <c r="F57" s="190"/>
      <c r="G57" s="912">
        <v>7846</v>
      </c>
      <c r="H57" s="190"/>
      <c r="I57" s="912">
        <v>15895</v>
      </c>
      <c r="J57" s="190"/>
      <c r="K57" s="912">
        <v>89694</v>
      </c>
      <c r="L57" s="190"/>
      <c r="M57" s="913">
        <v>65953</v>
      </c>
      <c r="N57" s="190"/>
      <c r="O57" s="190"/>
      <c r="P57" s="190"/>
      <c r="Q57" s="912">
        <v>7846</v>
      </c>
      <c r="R57" s="190"/>
      <c r="S57" s="912">
        <v>73799</v>
      </c>
      <c r="T57" s="908"/>
      <c r="U57" s="1088"/>
      <c r="V57" s="1089"/>
      <c r="W57" s="190"/>
      <c r="X57" s="190"/>
    </row>
    <row r="58" spans="1:24" ht="15.5" x14ac:dyDescent="0.35">
      <c r="A58" s="909" t="s">
        <v>1019</v>
      </c>
      <c r="B58" s="906" t="s">
        <v>1015</v>
      </c>
      <c r="C58" s="906" t="s">
        <v>1020</v>
      </c>
      <c r="D58" s="190"/>
      <c r="E58" s="912">
        <v>67790</v>
      </c>
      <c r="F58" s="190"/>
      <c r="G58" s="912">
        <v>8099</v>
      </c>
      <c r="H58" s="190"/>
      <c r="I58" s="912">
        <v>16337</v>
      </c>
      <c r="J58" s="190"/>
      <c r="K58" s="912">
        <v>92226</v>
      </c>
      <c r="L58" s="190"/>
      <c r="M58" s="913">
        <v>67790</v>
      </c>
      <c r="N58" s="190"/>
      <c r="O58" s="190"/>
      <c r="P58" s="190"/>
      <c r="Q58" s="912">
        <v>8099</v>
      </c>
      <c r="R58" s="190"/>
      <c r="S58" s="912">
        <v>75889</v>
      </c>
      <c r="T58" s="908"/>
      <c r="U58" s="1088"/>
      <c r="V58" s="1089"/>
      <c r="W58" s="190"/>
      <c r="X58" s="190"/>
    </row>
    <row r="59" spans="1:24" ht="15.5" x14ac:dyDescent="0.35">
      <c r="A59" s="909" t="s">
        <v>1019</v>
      </c>
      <c r="B59" s="906"/>
      <c r="C59" s="906" t="s">
        <v>1021</v>
      </c>
      <c r="D59" s="190"/>
      <c r="E59" s="912">
        <v>69626</v>
      </c>
      <c r="F59" s="190"/>
      <c r="G59" s="912">
        <v>8353</v>
      </c>
      <c r="H59" s="190"/>
      <c r="I59" s="912">
        <v>16780</v>
      </c>
      <c r="J59" s="190"/>
      <c r="K59" s="912">
        <v>94759</v>
      </c>
      <c r="L59" s="190"/>
      <c r="M59" s="913">
        <v>69626</v>
      </c>
      <c r="N59" s="190"/>
      <c r="O59" s="190"/>
      <c r="P59" s="190"/>
      <c r="Q59" s="912">
        <v>8353</v>
      </c>
      <c r="R59" s="190"/>
      <c r="S59" s="912">
        <v>77979</v>
      </c>
      <c r="T59" s="908"/>
      <c r="U59" s="1088"/>
      <c r="V59" s="1089"/>
      <c r="W59" s="190"/>
      <c r="X59" s="190"/>
    </row>
    <row r="60" spans="1:24" ht="15.5" x14ac:dyDescent="0.35">
      <c r="A60" s="909" t="s">
        <v>1019</v>
      </c>
      <c r="B60" s="906"/>
      <c r="C60" s="906" t="s">
        <v>1022</v>
      </c>
      <c r="D60" s="190"/>
      <c r="E60" s="912">
        <v>71463</v>
      </c>
      <c r="F60" s="190"/>
      <c r="G60" s="912">
        <v>8606</v>
      </c>
      <c r="H60" s="190"/>
      <c r="I60" s="912">
        <v>17223</v>
      </c>
      <c r="J60" s="190"/>
      <c r="K60" s="912">
        <v>97292</v>
      </c>
      <c r="L60" s="190"/>
      <c r="M60" s="913">
        <v>71463</v>
      </c>
      <c r="N60" s="190"/>
      <c r="O60" s="190"/>
      <c r="P60" s="190"/>
      <c r="Q60" s="912">
        <v>8606</v>
      </c>
      <c r="R60" s="190"/>
      <c r="S60" s="912">
        <v>80069</v>
      </c>
      <c r="T60" s="908"/>
      <c r="U60" s="1088"/>
      <c r="V60" s="1089"/>
      <c r="W60" s="190"/>
      <c r="X60" s="190"/>
    </row>
    <row r="61" spans="1:24" ht="15.5" x14ac:dyDescent="0.35">
      <c r="A61" s="909" t="s">
        <v>1019</v>
      </c>
      <c r="B61" s="906" t="s">
        <v>1023</v>
      </c>
      <c r="C61" s="906" t="s">
        <v>1024</v>
      </c>
      <c r="D61" s="190"/>
      <c r="E61" s="912">
        <v>73299</v>
      </c>
      <c r="F61" s="190"/>
      <c r="G61" s="912">
        <v>8859</v>
      </c>
      <c r="H61" s="190"/>
      <c r="I61" s="912">
        <v>17665</v>
      </c>
      <c r="J61" s="190"/>
      <c r="K61" s="912">
        <v>99823</v>
      </c>
      <c r="L61" s="190"/>
      <c r="M61" s="913">
        <v>73299</v>
      </c>
      <c r="N61" s="190"/>
      <c r="O61" s="190"/>
      <c r="P61" s="190"/>
      <c r="Q61" s="912">
        <v>8859</v>
      </c>
      <c r="R61" s="190"/>
      <c r="S61" s="912">
        <v>82158</v>
      </c>
      <c r="T61" s="908"/>
      <c r="U61" s="1088"/>
      <c r="V61" s="1089"/>
      <c r="W61" s="190"/>
      <c r="X61" s="190"/>
    </row>
    <row r="62" spans="1:24" ht="15.5" x14ac:dyDescent="0.35">
      <c r="A62" s="909"/>
      <c r="B62" s="906" t="s">
        <v>1023</v>
      </c>
      <c r="C62" s="906" t="s">
        <v>1025</v>
      </c>
      <c r="D62" s="190"/>
      <c r="E62" s="912">
        <v>75136</v>
      </c>
      <c r="F62" s="190"/>
      <c r="G62" s="912">
        <v>9113</v>
      </c>
      <c r="H62" s="190"/>
      <c r="I62" s="912">
        <v>18108</v>
      </c>
      <c r="J62" s="190"/>
      <c r="K62" s="912">
        <v>102357</v>
      </c>
      <c r="L62" s="190"/>
      <c r="M62" s="913">
        <v>75136</v>
      </c>
      <c r="N62" s="190"/>
      <c r="O62" s="190"/>
      <c r="P62" s="190"/>
      <c r="Q62" s="912">
        <v>9113</v>
      </c>
      <c r="R62" s="190"/>
      <c r="S62" s="912">
        <v>84249</v>
      </c>
      <c r="T62" s="908"/>
      <c r="U62" s="1088"/>
      <c r="V62" s="1089"/>
      <c r="W62" s="190"/>
      <c r="X62" s="190"/>
    </row>
    <row r="63" spans="1:24" ht="15.5" x14ac:dyDescent="0.35">
      <c r="A63" s="909"/>
      <c r="B63" s="906" t="s">
        <v>1023</v>
      </c>
      <c r="C63" s="906" t="s">
        <v>1026</v>
      </c>
      <c r="D63" s="190"/>
      <c r="E63" s="912">
        <v>76972</v>
      </c>
      <c r="F63" s="190"/>
      <c r="G63" s="912">
        <v>9366</v>
      </c>
      <c r="H63" s="190"/>
      <c r="I63" s="912">
        <v>18550</v>
      </c>
      <c r="J63" s="190"/>
      <c r="K63" s="912">
        <v>104888</v>
      </c>
      <c r="L63" s="190"/>
      <c r="M63" s="913">
        <v>76972</v>
      </c>
      <c r="N63" s="190"/>
      <c r="O63" s="190"/>
      <c r="P63" s="190"/>
      <c r="Q63" s="912">
        <v>9366</v>
      </c>
      <c r="R63" s="190"/>
      <c r="S63" s="912">
        <v>86338</v>
      </c>
      <c r="T63" s="908"/>
      <c r="U63" s="1088"/>
      <c r="V63" s="1089"/>
      <c r="W63" s="190"/>
      <c r="X63" s="190"/>
    </row>
    <row r="64" spans="1:24" ht="15.5" x14ac:dyDescent="0.35">
      <c r="A64" s="909"/>
      <c r="B64" s="906" t="s">
        <v>1023</v>
      </c>
      <c r="C64" s="906" t="s">
        <v>1027</v>
      </c>
      <c r="D64" s="190"/>
      <c r="E64" s="912">
        <v>78811</v>
      </c>
      <c r="F64" s="190"/>
      <c r="G64" s="912">
        <v>9620</v>
      </c>
      <c r="H64" s="190"/>
      <c r="I64" s="912">
        <v>18993</v>
      </c>
      <c r="J64" s="190"/>
      <c r="K64" s="912">
        <v>107424</v>
      </c>
      <c r="L64" s="190"/>
      <c r="M64" s="913">
        <v>78811</v>
      </c>
      <c r="N64" s="190"/>
      <c r="O64" s="190"/>
      <c r="P64" s="190"/>
      <c r="Q64" s="912">
        <v>9620</v>
      </c>
      <c r="R64" s="190"/>
      <c r="S64" s="912">
        <v>88431</v>
      </c>
      <c r="T64" s="908"/>
      <c r="U64" s="1088"/>
      <c r="V64" s="1089"/>
      <c r="W64" s="190"/>
      <c r="X64" s="190"/>
    </row>
    <row r="65" spans="1:24" ht="16" thickBot="1" x14ac:dyDescent="0.4">
      <c r="A65" s="915"/>
      <c r="B65" s="916"/>
      <c r="C65" s="916"/>
      <c r="D65" s="917"/>
      <c r="E65" s="917"/>
      <c r="F65" s="917"/>
      <c r="G65" s="917"/>
      <c r="H65" s="917"/>
      <c r="I65" s="917"/>
      <c r="J65" s="917"/>
      <c r="K65" s="917"/>
      <c r="L65" s="917"/>
      <c r="M65" s="918"/>
      <c r="N65" s="917"/>
      <c r="O65" s="917"/>
      <c r="P65" s="917"/>
      <c r="Q65" s="917"/>
      <c r="R65" s="917"/>
      <c r="S65" s="917"/>
      <c r="T65" s="919"/>
      <c r="U65" s="1088"/>
      <c r="V65" s="1089"/>
      <c r="W65" s="190"/>
      <c r="X65" s="190"/>
    </row>
    <row r="66" spans="1:24" ht="16" thickTop="1" x14ac:dyDescent="0.35">
      <c r="A66" s="190"/>
      <c r="B66" s="190"/>
      <c r="C66" s="190"/>
      <c r="D66" s="190"/>
      <c r="E66" s="190"/>
      <c r="F66" s="190"/>
      <c r="G66" s="190"/>
      <c r="H66" s="190"/>
      <c r="I66" s="190"/>
      <c r="J66" s="190"/>
      <c r="K66" s="190"/>
      <c r="L66" s="190"/>
      <c r="M66" s="190"/>
      <c r="N66" s="190"/>
      <c r="O66" s="190"/>
      <c r="P66" s="190"/>
      <c r="Q66" s="190"/>
      <c r="R66" s="190"/>
      <c r="S66" s="190"/>
      <c r="T66" s="190"/>
      <c r="U66" s="1089"/>
      <c r="V66" s="1089"/>
      <c r="W66" s="190"/>
      <c r="X66" s="190"/>
    </row>
  </sheetData>
  <mergeCells count="64">
    <mergeCell ref="U63:V63"/>
    <mergeCell ref="U64:V64"/>
    <mergeCell ref="U65:V65"/>
    <mergeCell ref="U66:V66"/>
    <mergeCell ref="U57:V57"/>
    <mergeCell ref="U58:V58"/>
    <mergeCell ref="U59:V59"/>
    <mergeCell ref="U60:V60"/>
    <mergeCell ref="U61:V61"/>
    <mergeCell ref="U62:V62"/>
    <mergeCell ref="U56:V56"/>
    <mergeCell ref="U45:V45"/>
    <mergeCell ref="U46:V46"/>
    <mergeCell ref="U47:V47"/>
    <mergeCell ref="U48:V48"/>
    <mergeCell ref="U49:V49"/>
    <mergeCell ref="U50:V50"/>
    <mergeCell ref="U51:V51"/>
    <mergeCell ref="U52:V52"/>
    <mergeCell ref="U53:V53"/>
    <mergeCell ref="U54:V54"/>
    <mergeCell ref="U55:V55"/>
    <mergeCell ref="U44:V44"/>
    <mergeCell ref="U33:V33"/>
    <mergeCell ref="U34:V34"/>
    <mergeCell ref="U35:V35"/>
    <mergeCell ref="U36:V36"/>
    <mergeCell ref="U37:V37"/>
    <mergeCell ref="U38:V38"/>
    <mergeCell ref="U39:V39"/>
    <mergeCell ref="U40:V40"/>
    <mergeCell ref="U41:V41"/>
    <mergeCell ref="U42:V42"/>
    <mergeCell ref="U43:V43"/>
    <mergeCell ref="U32:V32"/>
    <mergeCell ref="U21:V21"/>
    <mergeCell ref="U22:V22"/>
    <mergeCell ref="U23:V23"/>
    <mergeCell ref="U24:V24"/>
    <mergeCell ref="U25:V25"/>
    <mergeCell ref="U26:V26"/>
    <mergeCell ref="U27:V27"/>
    <mergeCell ref="U28:V28"/>
    <mergeCell ref="U29:V29"/>
    <mergeCell ref="U30:V30"/>
    <mergeCell ref="U31:V31"/>
    <mergeCell ref="U20:V20"/>
    <mergeCell ref="U11:V11"/>
    <mergeCell ref="E13:K13"/>
    <mergeCell ref="M13:S13"/>
    <mergeCell ref="U13:V13"/>
    <mergeCell ref="U15:V15"/>
    <mergeCell ref="U16:V16"/>
    <mergeCell ref="U17:V17"/>
    <mergeCell ref="U18:V18"/>
    <mergeCell ref="U19:V19"/>
    <mergeCell ref="A14:B14"/>
    <mergeCell ref="U14:V14"/>
    <mergeCell ref="U1:V1"/>
    <mergeCell ref="U2:V2"/>
    <mergeCell ref="U3:V3"/>
    <mergeCell ref="U4:V4"/>
    <mergeCell ref="U5:V5"/>
    <mergeCell ref="B7:C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158E-3DF9-40EB-9436-9C246B94DC6F}">
  <sheetPr>
    <tabColor theme="4" tint="0.39997558519241921"/>
  </sheetPr>
  <dimension ref="A1:AB66"/>
  <sheetViews>
    <sheetView topLeftCell="A8" workbookViewId="0">
      <selection activeCell="I39" sqref="I39"/>
    </sheetView>
  </sheetViews>
  <sheetFormatPr defaultColWidth="8.26953125" defaultRowHeight="12.5" x14ac:dyDescent="0.25"/>
  <cols>
    <col min="1" max="1" width="11.453125" style="101" customWidth="1"/>
    <col min="2" max="2" width="9.54296875" style="101" customWidth="1"/>
    <col min="3" max="3" width="14.81640625" style="101" customWidth="1"/>
    <col min="4" max="4" width="8.81640625" style="101" customWidth="1"/>
    <col min="5" max="5" width="13.7265625" style="101" customWidth="1"/>
    <col min="6" max="6" width="4.1796875" style="101" customWidth="1"/>
    <col min="7" max="7" width="9.81640625" style="101" customWidth="1"/>
    <col min="8" max="8" width="3.81640625" style="101" customWidth="1"/>
    <col min="9" max="9" width="15.81640625" style="101" bestFit="1" customWidth="1"/>
    <col min="10" max="10" width="2.7265625" style="101" customWidth="1"/>
    <col min="11" max="11" width="10.453125" style="101" customWidth="1"/>
    <col min="12" max="12" width="2.26953125" style="101" customWidth="1"/>
    <col min="13" max="13" width="10.453125" style="101" customWidth="1"/>
    <col min="14" max="14" width="0.81640625" style="101" customWidth="1"/>
    <col min="15" max="15" width="1.453125" style="101" customWidth="1"/>
    <col min="16" max="16" width="11.1796875" style="101" customWidth="1"/>
    <col min="17" max="17" width="2.81640625" style="101" customWidth="1"/>
    <col min="18" max="18" width="9.81640625" style="101" bestFit="1" customWidth="1"/>
    <col min="19" max="19" width="2.26953125" style="101" customWidth="1"/>
    <col min="20" max="20" width="9.453125" style="101" customWidth="1"/>
    <col min="21" max="21" width="12.1796875" style="101" bestFit="1" customWidth="1"/>
    <col min="22" max="23" width="9.453125" style="101" customWidth="1"/>
    <col min="24" max="26" width="8.26953125" style="101"/>
    <col min="27" max="27" width="8.54296875" style="101" bestFit="1" customWidth="1"/>
    <col min="28" max="16384" width="8.26953125" style="101"/>
  </cols>
  <sheetData>
    <row r="1" spans="1:28" s="183" customFormat="1" ht="39.65" customHeight="1" thickBot="1" x14ac:dyDescent="0.35">
      <c r="A1" s="59" t="s">
        <v>609</v>
      </c>
      <c r="B1" s="178" t="s">
        <v>669</v>
      </c>
      <c r="C1" s="179"/>
      <c r="D1" s="179"/>
      <c r="E1" s="179"/>
      <c r="F1" s="180"/>
      <c r="G1" s="179"/>
      <c r="H1" s="179"/>
      <c r="I1" s="179"/>
      <c r="J1" s="179"/>
      <c r="K1" s="179"/>
      <c r="L1" s="179"/>
      <c r="M1" s="179"/>
      <c r="N1" s="179"/>
      <c r="O1" s="179"/>
      <c r="P1" s="179"/>
      <c r="Q1" s="179"/>
      <c r="R1" s="181" t="s">
        <v>273</v>
      </c>
      <c r="S1" s="182"/>
    </row>
    <row r="2" spans="1:28" s="183" customFormat="1" ht="12.65" customHeight="1" x14ac:dyDescent="0.3">
      <c r="A2" s="59"/>
      <c r="B2" s="184"/>
      <c r="C2" s="184"/>
      <c r="D2" s="184"/>
      <c r="E2" s="184"/>
      <c r="F2" s="185"/>
      <c r="G2" s="184"/>
      <c r="H2" s="184"/>
      <c r="I2" s="184"/>
      <c r="J2" s="184"/>
      <c r="K2" s="184"/>
      <c r="L2" s="184"/>
      <c r="M2" s="184"/>
      <c r="N2" s="184"/>
      <c r="O2" s="184"/>
      <c r="P2" s="184"/>
      <c r="Q2" s="184"/>
      <c r="R2" s="184"/>
      <c r="S2" s="184"/>
      <c r="U2" s="186"/>
    </row>
    <row r="3" spans="1:28" s="183" customFormat="1" ht="64.900000000000006" customHeight="1" x14ac:dyDescent="0.3">
      <c r="A3" s="59" t="s">
        <v>611</v>
      </c>
      <c r="B3" s="1081" t="s">
        <v>612</v>
      </c>
      <c r="C3" s="1082"/>
      <c r="D3" s="1082"/>
      <c r="E3" s="1082"/>
      <c r="F3" s="1082"/>
      <c r="G3" s="1082"/>
      <c r="H3" s="1082"/>
      <c r="I3" s="1082"/>
      <c r="J3" s="1082"/>
      <c r="K3" s="1082"/>
      <c r="L3" s="1082"/>
      <c r="M3" s="1082"/>
      <c r="N3" s="1082"/>
      <c r="O3" s="1082"/>
      <c r="P3" s="1082"/>
      <c r="Q3" s="1082"/>
      <c r="R3" s="1082"/>
      <c r="S3" s="1082"/>
      <c r="U3" s="186"/>
    </row>
    <row r="4" spans="1:28" s="183" customFormat="1" ht="18.649999999999999" customHeight="1" thickBot="1" x14ac:dyDescent="0.35">
      <c r="A4" s="59"/>
      <c r="B4" s="1082"/>
      <c r="C4" s="1082"/>
      <c r="D4" s="1082"/>
      <c r="E4" s="1082"/>
      <c r="F4" s="1082"/>
      <c r="G4" s="1082"/>
      <c r="H4" s="1082"/>
      <c r="I4" s="1082"/>
      <c r="J4" s="1082"/>
      <c r="K4" s="1082"/>
      <c r="L4" s="1082"/>
      <c r="M4" s="1082"/>
      <c r="N4" s="1082"/>
      <c r="O4" s="1082"/>
      <c r="P4" s="1082"/>
      <c r="Q4" s="1082"/>
      <c r="R4" s="1082"/>
      <c r="S4" s="1082"/>
      <c r="U4" s="186"/>
    </row>
    <row r="5" spans="1:28" s="190" customFormat="1" ht="16" x14ac:dyDescent="0.4">
      <c r="A5" s="59" t="s">
        <v>613</v>
      </c>
      <c r="B5" s="1083" t="s">
        <v>670</v>
      </c>
      <c r="C5" s="1083"/>
      <c r="D5" s="1083"/>
      <c r="E5" s="1083"/>
      <c r="F5" s="1083"/>
      <c r="G5" s="1083"/>
      <c r="H5" s="1083"/>
      <c r="I5" s="1083"/>
      <c r="J5" s="1083"/>
      <c r="K5" s="1083"/>
      <c r="L5" s="1083"/>
      <c r="M5" s="1083"/>
      <c r="N5" s="1083"/>
      <c r="O5" s="1083"/>
      <c r="P5" s="1084"/>
      <c r="Q5" s="1084"/>
      <c r="R5" s="1084"/>
      <c r="S5" s="1084"/>
      <c r="T5" s="59" t="s">
        <v>615</v>
      </c>
      <c r="U5" s="187" t="s">
        <v>616</v>
      </c>
      <c r="V5" s="188">
        <v>1</v>
      </c>
      <c r="W5" s="189">
        <v>2</v>
      </c>
      <c r="Y5" s="191"/>
      <c r="Z5" s="644"/>
      <c r="AA5" s="644"/>
      <c r="AB5" s="644"/>
    </row>
    <row r="6" spans="1:28" ht="15.5" x14ac:dyDescent="0.45">
      <c r="A6" s="59" t="s">
        <v>617</v>
      </c>
      <c r="B6" s="1098" t="s">
        <v>671</v>
      </c>
      <c r="C6" s="1083"/>
      <c r="D6" s="1083"/>
      <c r="E6" s="1083"/>
      <c r="F6" s="1083"/>
      <c r="G6" s="1083"/>
      <c r="H6" s="1083"/>
      <c r="I6" s="1083"/>
      <c r="J6" s="1083"/>
      <c r="K6" s="1083"/>
      <c r="L6" s="1083"/>
      <c r="M6" s="1083"/>
      <c r="N6" s="1083"/>
      <c r="O6" s="1083"/>
      <c r="P6" s="1084"/>
      <c r="Q6" s="1084"/>
      <c r="R6" s="1084"/>
      <c r="S6" s="1084"/>
      <c r="U6" s="195">
        <v>0</v>
      </c>
      <c r="V6" s="196">
        <v>0</v>
      </c>
      <c r="W6" s="197">
        <v>0</v>
      </c>
      <c r="Y6" s="191"/>
      <c r="Z6" s="645"/>
      <c r="AA6" s="645"/>
      <c r="AB6" s="645"/>
    </row>
    <row r="7" spans="1:28" ht="16" thickBot="1" x14ac:dyDescent="0.5">
      <c r="B7" s="201"/>
      <c r="C7" s="59"/>
      <c r="D7" s="59"/>
      <c r="E7" s="59"/>
      <c r="F7" s="59"/>
      <c r="G7" s="59"/>
      <c r="H7" s="59"/>
      <c r="I7" s="59"/>
      <c r="J7" s="59"/>
      <c r="K7" s="59"/>
      <c r="L7" s="59"/>
      <c r="M7" s="59"/>
      <c r="N7" s="59"/>
      <c r="O7" s="59"/>
      <c r="P7" s="59"/>
      <c r="Q7" s="59"/>
      <c r="R7" s="59"/>
      <c r="S7" s="59"/>
      <c r="U7" s="195"/>
      <c r="V7" s="196"/>
      <c r="W7" s="197"/>
      <c r="Y7" s="191"/>
      <c r="Z7" s="645"/>
      <c r="AA7" s="646"/>
      <c r="AB7" s="646"/>
    </row>
    <row r="8" spans="1:28" ht="15.5" x14ac:dyDescent="0.45">
      <c r="A8" s="59" t="s">
        <v>620</v>
      </c>
      <c r="B8" s="204"/>
      <c r="C8" s="205" t="s">
        <v>621</v>
      </c>
      <c r="D8" s="206"/>
      <c r="E8" s="205" t="s">
        <v>672</v>
      </c>
      <c r="F8" s="206"/>
      <c r="G8" s="206"/>
      <c r="H8" s="206"/>
      <c r="I8" s="206"/>
      <c r="J8" s="206"/>
      <c r="K8" s="206"/>
      <c r="L8" s="206"/>
      <c r="M8" s="205" t="s">
        <v>673</v>
      </c>
      <c r="N8" s="207"/>
      <c r="O8" s="207"/>
      <c r="P8" s="206"/>
      <c r="Q8" s="206"/>
      <c r="R8" s="206"/>
      <c r="S8" s="208"/>
      <c r="U8" s="195"/>
      <c r="V8" s="196"/>
      <c r="W8" s="197"/>
      <c r="Y8" s="647"/>
      <c r="Z8" s="645"/>
      <c r="AA8" s="646"/>
      <c r="AB8" s="646"/>
    </row>
    <row r="9" spans="1:28" ht="15.5" x14ac:dyDescent="0.45">
      <c r="A9" s="59"/>
      <c r="B9" s="209"/>
      <c r="C9" s="210"/>
      <c r="D9" s="210"/>
      <c r="E9" s="211"/>
      <c r="F9" s="210"/>
      <c r="G9" s="210"/>
      <c r="H9" s="210"/>
      <c r="I9" s="210"/>
      <c r="J9" s="210"/>
      <c r="K9" s="210"/>
      <c r="L9" s="210"/>
      <c r="M9" s="210"/>
      <c r="N9" s="196"/>
      <c r="O9" s="210"/>
      <c r="P9" s="210"/>
      <c r="Q9" s="210"/>
      <c r="R9" s="210"/>
      <c r="S9" s="212"/>
      <c r="U9" s="195"/>
      <c r="V9" s="213"/>
      <c r="W9" s="214"/>
      <c r="Y9" s="215"/>
      <c r="Z9" s="645"/>
      <c r="AA9" s="646"/>
      <c r="AB9" s="646"/>
    </row>
    <row r="10" spans="1:28" ht="16" thickBot="1" x14ac:dyDescent="0.5">
      <c r="A10" s="59"/>
      <c r="B10" s="760" t="s">
        <v>674</v>
      </c>
      <c r="C10" s="761"/>
      <c r="D10" s="761"/>
      <c r="E10" s="761"/>
      <c r="F10" s="762"/>
      <c r="G10" s="761"/>
      <c r="H10" s="762"/>
      <c r="I10" s="761"/>
      <c r="J10" s="762"/>
      <c r="K10" s="761"/>
      <c r="L10" s="762"/>
      <c r="M10" s="762"/>
      <c r="N10" s="762"/>
      <c r="O10" s="762"/>
      <c r="P10" s="762"/>
      <c r="Q10" s="762"/>
      <c r="R10" s="762"/>
      <c r="S10" s="763"/>
      <c r="U10" s="195"/>
      <c r="V10" s="213"/>
      <c r="W10" s="214"/>
      <c r="Y10" s="191"/>
      <c r="Z10" s="645"/>
      <c r="AA10" s="646"/>
      <c r="AB10" s="646"/>
    </row>
    <row r="11" spans="1:28" ht="16" thickBot="1" x14ac:dyDescent="0.5">
      <c r="B11" s="764"/>
      <c r="C11" s="765"/>
      <c r="D11" s="765"/>
      <c r="E11" s="765"/>
      <c r="F11" s="765"/>
      <c r="G11" s="765"/>
      <c r="H11" s="765"/>
      <c r="I11" s="765"/>
      <c r="J11" s="765"/>
      <c r="K11" s="765"/>
      <c r="L11" s="765"/>
      <c r="M11" s="765"/>
      <c r="N11" s="765"/>
      <c r="O11" s="765"/>
      <c r="P11" s="765"/>
      <c r="Q11" s="765"/>
      <c r="R11" s="765"/>
      <c r="S11" s="765"/>
      <c r="U11" s="195">
        <v>9100</v>
      </c>
      <c r="V11" s="213">
        <v>0</v>
      </c>
      <c r="W11" s="214">
        <v>0.15049999999999999</v>
      </c>
      <c r="Y11" s="191"/>
      <c r="Z11" s="648"/>
      <c r="AA11" s="646"/>
      <c r="AB11" s="645"/>
    </row>
    <row r="12" spans="1:28" ht="15.5" x14ac:dyDescent="0.35">
      <c r="A12" s="59" t="s">
        <v>628</v>
      </c>
      <c r="B12" s="216"/>
      <c r="C12" s="217"/>
      <c r="D12" s="217"/>
      <c r="E12" s="218" t="s">
        <v>629</v>
      </c>
      <c r="F12" s="219"/>
      <c r="G12" s="218"/>
      <c r="H12" s="219"/>
      <c r="I12" s="218"/>
      <c r="J12" s="219"/>
      <c r="K12" s="218"/>
      <c r="L12" s="220"/>
      <c r="M12" s="221" t="s">
        <v>630</v>
      </c>
      <c r="N12" s="222"/>
      <c r="O12" s="222"/>
      <c r="P12" s="222"/>
      <c r="Q12" s="222"/>
      <c r="R12" s="222"/>
      <c r="S12" s="223"/>
      <c r="U12" s="195"/>
      <c r="V12" s="213"/>
      <c r="W12" s="214"/>
    </row>
    <row r="13" spans="1:28" ht="16" thickBot="1" x14ac:dyDescent="0.4">
      <c r="A13" s="59"/>
      <c r="B13" s="216"/>
      <c r="C13" s="224" t="s">
        <v>631</v>
      </c>
      <c r="D13" s="224" t="s">
        <v>632</v>
      </c>
      <c r="E13" s="225" t="s">
        <v>633</v>
      </c>
      <c r="F13" s="224"/>
      <c r="G13" s="226" t="s">
        <v>634</v>
      </c>
      <c r="H13" s="224"/>
      <c r="I13" s="225" t="s">
        <v>635</v>
      </c>
      <c r="J13" s="224"/>
      <c r="K13" s="225" t="s">
        <v>141</v>
      </c>
      <c r="L13" s="227"/>
      <c r="M13" s="228" t="s">
        <v>633</v>
      </c>
      <c r="N13" s="224"/>
      <c r="O13" s="224"/>
      <c r="P13" s="226" t="s">
        <v>634</v>
      </c>
      <c r="Q13" s="224"/>
      <c r="R13" s="229" t="s">
        <v>141</v>
      </c>
      <c r="S13" s="223"/>
      <c r="U13" s="769" t="s">
        <v>627</v>
      </c>
      <c r="V13" s="770">
        <v>0.23680000000000001</v>
      </c>
      <c r="W13" s="771"/>
    </row>
    <row r="14" spans="1:28" ht="16" thickBot="1" x14ac:dyDescent="0.4">
      <c r="A14" s="59"/>
      <c r="B14" s="772"/>
      <c r="C14" s="773"/>
      <c r="D14" s="773"/>
      <c r="E14" s="773"/>
      <c r="F14" s="773"/>
      <c r="G14" s="773"/>
      <c r="H14" s="773"/>
      <c r="I14" s="773"/>
      <c r="J14" s="773"/>
      <c r="K14" s="773"/>
      <c r="L14" s="773"/>
      <c r="M14" s="774"/>
      <c r="N14" s="773"/>
      <c r="O14" s="773"/>
      <c r="P14" s="773"/>
      <c r="Q14" s="773"/>
      <c r="R14" s="773"/>
      <c r="S14" s="775"/>
      <c r="U14" s="230"/>
      <c r="V14" s="231"/>
    </row>
    <row r="15" spans="1:28" ht="15.5" x14ac:dyDescent="0.35">
      <c r="A15" s="59"/>
      <c r="B15" s="232"/>
      <c r="C15" s="233"/>
      <c r="D15" s="233"/>
      <c r="E15" s="233"/>
      <c r="F15" s="233"/>
      <c r="G15" s="233"/>
      <c r="H15" s="233"/>
      <c r="I15" s="233"/>
      <c r="J15" s="233"/>
      <c r="K15" s="233"/>
      <c r="L15" s="234"/>
      <c r="M15" s="233"/>
      <c r="N15" s="233"/>
      <c r="O15" s="233"/>
      <c r="P15" s="233"/>
      <c r="Q15" s="233"/>
      <c r="R15" s="233"/>
      <c r="S15" s="234"/>
    </row>
    <row r="16" spans="1:28" ht="16.5" customHeight="1" x14ac:dyDescent="0.35">
      <c r="A16" s="59"/>
      <c r="B16" s="216"/>
      <c r="C16" s="217" t="s">
        <v>636</v>
      </c>
      <c r="D16" s="235">
        <v>1</v>
      </c>
      <c r="E16" s="237">
        <v>28000</v>
      </c>
      <c r="F16" s="237"/>
      <c r="G16" s="237">
        <f t="shared" ref="G16:G21" si="0">IF($M16&gt;$U$11,($E16-$U$11)*$W$11,"ERROR")</f>
        <v>2844.45</v>
      </c>
      <c r="H16" s="237"/>
      <c r="I16" s="237">
        <f t="shared" ref="I16:I21" si="1">$E16*$V$13</f>
        <v>6630.4000000000005</v>
      </c>
      <c r="J16" s="237"/>
      <c r="K16" s="237">
        <f>E16+ROUND(G16,0)+ROUND(I16,0)</f>
        <v>37474</v>
      </c>
      <c r="L16" s="238"/>
      <c r="M16" s="237">
        <f t="shared" ref="M16:M21" si="2">E16</f>
        <v>28000</v>
      </c>
      <c r="N16" s="237"/>
      <c r="O16" s="237"/>
      <c r="P16" s="237">
        <f t="shared" ref="P16:P21" si="3">IF($M16&gt;$U$11,($M16-$U$11)*$W$11,"ERROR")</f>
        <v>2844.45</v>
      </c>
      <c r="Q16" s="237"/>
      <c r="R16" s="237">
        <f t="shared" ref="R16:R21" si="4">SUM(M16:P16)</f>
        <v>30844.45</v>
      </c>
      <c r="S16" s="223"/>
      <c r="U16" s="239"/>
      <c r="V16" s="240"/>
    </row>
    <row r="17" spans="1:22" ht="15.5" x14ac:dyDescent="0.35">
      <c r="A17" s="59"/>
      <c r="B17" s="241"/>
      <c r="C17" s="242"/>
      <c r="D17" s="235">
        <v>2</v>
      </c>
      <c r="E17" s="237">
        <v>29800</v>
      </c>
      <c r="F17" s="237"/>
      <c r="G17" s="237">
        <f t="shared" si="0"/>
        <v>3115.35</v>
      </c>
      <c r="H17" s="237"/>
      <c r="I17" s="237">
        <f t="shared" si="1"/>
        <v>7056.64</v>
      </c>
      <c r="J17" s="237"/>
      <c r="K17" s="237">
        <f t="shared" ref="K17:K34" si="5">E17+ROUND(G17,0)+ROUND(I17,0)</f>
        <v>39972</v>
      </c>
      <c r="L17" s="238"/>
      <c r="M17" s="237">
        <f t="shared" si="2"/>
        <v>29800</v>
      </c>
      <c r="N17" s="237"/>
      <c r="O17" s="237"/>
      <c r="P17" s="237">
        <f t="shared" si="3"/>
        <v>3115.35</v>
      </c>
      <c r="Q17" s="237"/>
      <c r="R17" s="237">
        <f t="shared" si="4"/>
        <v>32915.35</v>
      </c>
      <c r="S17" s="223"/>
      <c r="U17" s="239" t="s">
        <v>637</v>
      </c>
      <c r="V17" s="240"/>
    </row>
    <row r="18" spans="1:22" ht="15.5" x14ac:dyDescent="0.35">
      <c r="A18" s="59"/>
      <c r="B18" s="241"/>
      <c r="C18" s="242"/>
      <c r="D18" s="235">
        <v>3</v>
      </c>
      <c r="E18" s="237">
        <v>31750</v>
      </c>
      <c r="F18" s="237"/>
      <c r="G18" s="237">
        <f t="shared" si="0"/>
        <v>3408.8249999999998</v>
      </c>
      <c r="H18" s="237"/>
      <c r="I18" s="237">
        <f t="shared" si="1"/>
        <v>7518.4000000000005</v>
      </c>
      <c r="J18" s="237"/>
      <c r="K18" s="237">
        <f t="shared" si="5"/>
        <v>42677</v>
      </c>
      <c r="L18" s="238"/>
      <c r="M18" s="237">
        <f t="shared" si="2"/>
        <v>31750</v>
      </c>
      <c r="N18" s="237"/>
      <c r="O18" s="237"/>
      <c r="P18" s="237">
        <f t="shared" si="3"/>
        <v>3408.8249999999998</v>
      </c>
      <c r="Q18" s="237"/>
      <c r="R18" s="237">
        <f t="shared" si="4"/>
        <v>35158.824999999997</v>
      </c>
      <c r="S18" s="223"/>
      <c r="U18" s="239" t="s">
        <v>638</v>
      </c>
      <c r="V18" s="240"/>
    </row>
    <row r="19" spans="1:22" ht="15.5" x14ac:dyDescent="0.35">
      <c r="A19" s="59"/>
      <c r="B19" s="241"/>
      <c r="C19" s="242"/>
      <c r="D19" s="235">
        <v>4</v>
      </c>
      <c r="E19" s="237">
        <v>33850</v>
      </c>
      <c r="F19" s="237"/>
      <c r="G19" s="237">
        <f t="shared" si="0"/>
        <v>3724.875</v>
      </c>
      <c r="H19" s="237"/>
      <c r="I19" s="237">
        <f t="shared" si="1"/>
        <v>8015.68</v>
      </c>
      <c r="J19" s="237"/>
      <c r="K19" s="237">
        <f t="shared" si="5"/>
        <v>45591</v>
      </c>
      <c r="L19" s="238"/>
      <c r="M19" s="237">
        <f t="shared" si="2"/>
        <v>33850</v>
      </c>
      <c r="N19" s="237"/>
      <c r="O19" s="237"/>
      <c r="P19" s="237">
        <f t="shared" si="3"/>
        <v>3724.875</v>
      </c>
      <c r="Q19" s="237"/>
      <c r="R19" s="237">
        <f t="shared" si="4"/>
        <v>37574.875</v>
      </c>
      <c r="S19" s="223"/>
      <c r="U19" s="239"/>
      <c r="V19" s="240"/>
    </row>
    <row r="20" spans="1:22" ht="15.5" x14ac:dyDescent="0.35">
      <c r="A20" s="59"/>
      <c r="B20" s="241"/>
      <c r="C20" s="242"/>
      <c r="D20" s="235">
        <v>5</v>
      </c>
      <c r="E20" s="237">
        <v>35990</v>
      </c>
      <c r="F20" s="237"/>
      <c r="G20" s="237">
        <f t="shared" si="0"/>
        <v>4046.9449999999997</v>
      </c>
      <c r="H20" s="237"/>
      <c r="I20" s="237">
        <f t="shared" si="1"/>
        <v>8522.4320000000007</v>
      </c>
      <c r="J20" s="237"/>
      <c r="K20" s="237">
        <f t="shared" si="5"/>
        <v>48559</v>
      </c>
      <c r="L20" s="238"/>
      <c r="M20" s="237">
        <f t="shared" si="2"/>
        <v>35990</v>
      </c>
      <c r="N20" s="237"/>
      <c r="O20" s="237"/>
      <c r="P20" s="237">
        <f t="shared" si="3"/>
        <v>4046.9449999999997</v>
      </c>
      <c r="Q20" s="237"/>
      <c r="R20" s="237">
        <f t="shared" si="4"/>
        <v>40036.945</v>
      </c>
      <c r="S20" s="223"/>
      <c r="T20" s="243"/>
      <c r="U20" s="239" t="s">
        <v>639</v>
      </c>
      <c r="V20" s="244"/>
    </row>
    <row r="21" spans="1:22" ht="15.5" x14ac:dyDescent="0.35">
      <c r="A21" s="59"/>
      <c r="B21" s="241"/>
      <c r="C21" s="242"/>
      <c r="D21" s="235">
        <v>6</v>
      </c>
      <c r="E21" s="237">
        <v>38810</v>
      </c>
      <c r="F21" s="237"/>
      <c r="G21" s="237">
        <f t="shared" si="0"/>
        <v>4471.3549999999996</v>
      </c>
      <c r="H21" s="237"/>
      <c r="I21" s="237">
        <f t="shared" si="1"/>
        <v>9190.2080000000005</v>
      </c>
      <c r="J21" s="237"/>
      <c r="K21" s="237">
        <f t="shared" si="5"/>
        <v>52471</v>
      </c>
      <c r="L21" s="238"/>
      <c r="M21" s="237">
        <f t="shared" si="2"/>
        <v>38810</v>
      </c>
      <c r="N21" s="237"/>
      <c r="O21" s="237"/>
      <c r="P21" s="237">
        <f t="shared" si="3"/>
        <v>4471.3549999999996</v>
      </c>
      <c r="Q21" s="237"/>
      <c r="R21" s="237">
        <f t="shared" si="4"/>
        <v>43281.354999999996</v>
      </c>
      <c r="S21" s="223"/>
      <c r="T21" s="243"/>
      <c r="U21" s="239" t="s">
        <v>675</v>
      </c>
      <c r="V21" s="244"/>
    </row>
    <row r="22" spans="1:22" ht="15.5" x14ac:dyDescent="0.35">
      <c r="A22" s="59"/>
      <c r="B22" s="245" t="s">
        <v>641</v>
      </c>
      <c r="C22" s="242"/>
      <c r="D22" s="235"/>
      <c r="E22" s="237"/>
      <c r="F22" s="237"/>
      <c r="G22" s="237"/>
      <c r="H22" s="237"/>
      <c r="I22" s="237"/>
      <c r="J22" s="237"/>
      <c r="K22" s="237"/>
      <c r="L22" s="238"/>
      <c r="M22" s="246" t="s">
        <v>642</v>
      </c>
      <c r="N22" s="237"/>
      <c r="O22" s="237"/>
      <c r="P22" s="237"/>
      <c r="Q22" s="237"/>
      <c r="R22" s="237"/>
      <c r="S22" s="223"/>
      <c r="U22" s="239"/>
      <c r="V22" s="244"/>
    </row>
    <row r="23" spans="1:22" ht="15.5" x14ac:dyDescent="0.35">
      <c r="A23" s="59"/>
      <c r="B23" s="241"/>
      <c r="C23" s="242" t="s">
        <v>643</v>
      </c>
      <c r="D23" s="235">
        <v>1</v>
      </c>
      <c r="E23" s="237">
        <v>40625</v>
      </c>
      <c r="F23" s="237"/>
      <c r="G23" s="237">
        <f>IF($M23&gt;$U$11,($E23-$U$11)*$W$11,"ERROR")</f>
        <v>4744.5124999999998</v>
      </c>
      <c r="H23" s="237"/>
      <c r="I23" s="237">
        <f>$E23*$V$13</f>
        <v>9620</v>
      </c>
      <c r="J23" s="237"/>
      <c r="K23" s="237">
        <f t="shared" si="5"/>
        <v>54990</v>
      </c>
      <c r="L23" s="238"/>
      <c r="M23" s="237">
        <f>E23</f>
        <v>40625</v>
      </c>
      <c r="N23" s="237"/>
      <c r="O23" s="237"/>
      <c r="P23" s="237">
        <f>IF($M23&gt;$U$11,($M23-$U$11)*$W$11,"ERROR")</f>
        <v>4744.5124999999998</v>
      </c>
      <c r="Q23" s="237"/>
      <c r="R23" s="237">
        <f>SUM(M23:P23)</f>
        <v>45369.512499999997</v>
      </c>
      <c r="S23" s="223"/>
      <c r="T23" s="243"/>
      <c r="U23" s="239" t="s">
        <v>644</v>
      </c>
      <c r="V23" s="244"/>
    </row>
    <row r="24" spans="1:22" ht="15.5" x14ac:dyDescent="0.35">
      <c r="A24" s="59"/>
      <c r="B24" s="241"/>
      <c r="C24" s="242" t="s">
        <v>645</v>
      </c>
      <c r="D24" s="235">
        <v>2</v>
      </c>
      <c r="E24" s="237">
        <v>42131</v>
      </c>
      <c r="F24" s="237"/>
      <c r="G24" s="237">
        <f>IF($M24&gt;$U$11,($E24-$U$11)*$W$11,"ERROR")</f>
        <v>4971.1655000000001</v>
      </c>
      <c r="H24" s="237"/>
      <c r="I24" s="237">
        <f>$E24*$V$13</f>
        <v>9976.6208000000006</v>
      </c>
      <c r="J24" s="237"/>
      <c r="K24" s="237">
        <f t="shared" si="5"/>
        <v>57079</v>
      </c>
      <c r="L24" s="238"/>
      <c r="M24" s="237">
        <f>E24</f>
        <v>42131</v>
      </c>
      <c r="N24" s="237"/>
      <c r="O24" s="237"/>
      <c r="P24" s="237">
        <f>IF($M24&gt;$U$11,($M24-$U$11)*$W$11,"ERROR")</f>
        <v>4971.1655000000001</v>
      </c>
      <c r="Q24" s="237"/>
      <c r="R24" s="237">
        <f>SUM(M24:P24)</f>
        <v>47102.165500000003</v>
      </c>
      <c r="S24" s="223"/>
      <c r="T24" s="243"/>
      <c r="U24" s="239" t="s">
        <v>676</v>
      </c>
      <c r="V24" s="244"/>
    </row>
    <row r="25" spans="1:22" ht="15.5" x14ac:dyDescent="0.35">
      <c r="A25" s="59"/>
      <c r="B25" s="241"/>
      <c r="C25" s="242"/>
      <c r="D25" s="235">
        <v>3</v>
      </c>
      <c r="E25" s="237">
        <v>43685</v>
      </c>
      <c r="F25" s="237"/>
      <c r="G25" s="237">
        <f>IF($M25&gt;$U$11,($E25-$U$11)*$W$11,"ERROR")</f>
        <v>5205.0424999999996</v>
      </c>
      <c r="H25" s="237"/>
      <c r="I25" s="237">
        <f>$E25*$V$13</f>
        <v>10344.608</v>
      </c>
      <c r="J25" s="237"/>
      <c r="K25" s="237">
        <f t="shared" si="5"/>
        <v>59235</v>
      </c>
      <c r="L25" s="238"/>
      <c r="M25" s="237">
        <f>E25</f>
        <v>43685</v>
      </c>
      <c r="N25" s="237"/>
      <c r="O25" s="237"/>
      <c r="P25" s="237">
        <f>IF($M25&gt;$U$11,($M25-$U$11)*$W$11,"ERROR")</f>
        <v>5205.0424999999996</v>
      </c>
      <c r="Q25" s="237"/>
      <c r="R25" s="237">
        <f>SUM(M25:P25)</f>
        <v>48890.042499999996</v>
      </c>
      <c r="S25" s="223"/>
      <c r="T25" s="243"/>
      <c r="U25" s="239"/>
      <c r="V25" s="244"/>
    </row>
    <row r="26" spans="1:22" ht="15.5" x14ac:dyDescent="0.35">
      <c r="A26" s="59"/>
      <c r="B26" s="241"/>
      <c r="C26" s="242"/>
      <c r="D26" s="235"/>
      <c r="E26" s="237"/>
      <c r="F26" s="237"/>
      <c r="G26" s="237"/>
      <c r="H26" s="237"/>
      <c r="I26" s="237"/>
      <c r="J26" s="237"/>
      <c r="K26" s="237"/>
      <c r="L26" s="238"/>
      <c r="M26" s="237"/>
      <c r="N26" s="237"/>
      <c r="O26" s="237"/>
      <c r="P26" s="237"/>
      <c r="Q26" s="237"/>
      <c r="R26" s="237"/>
      <c r="S26" s="223"/>
      <c r="T26" s="243"/>
      <c r="U26" s="239" t="s">
        <v>647</v>
      </c>
    </row>
    <row r="27" spans="1:22" ht="15.5" x14ac:dyDescent="0.35">
      <c r="A27" s="59"/>
      <c r="B27" s="245" t="s">
        <v>648</v>
      </c>
      <c r="C27" s="242"/>
      <c r="D27" s="235"/>
      <c r="E27" s="237"/>
      <c r="F27" s="237"/>
      <c r="G27" s="237"/>
      <c r="H27" s="237"/>
      <c r="I27" s="237"/>
      <c r="J27" s="237"/>
      <c r="K27" s="237"/>
      <c r="L27" s="238"/>
      <c r="M27" s="246" t="s">
        <v>642</v>
      </c>
      <c r="N27" s="237"/>
      <c r="O27" s="237"/>
      <c r="P27" s="237"/>
      <c r="Q27" s="237"/>
      <c r="R27" s="237"/>
      <c r="S27" s="223"/>
      <c r="T27" s="243"/>
      <c r="U27" s="239" t="s">
        <v>649</v>
      </c>
      <c r="V27" s="244"/>
    </row>
    <row r="28" spans="1:22" ht="15.5" x14ac:dyDescent="0.35">
      <c r="A28" s="59"/>
      <c r="B28" s="247"/>
      <c r="C28" s="242"/>
      <c r="D28" s="220"/>
      <c r="E28" s="237"/>
      <c r="F28" s="237"/>
      <c r="G28" s="237"/>
      <c r="H28" s="237"/>
      <c r="I28" s="237"/>
      <c r="J28" s="237"/>
      <c r="K28" s="237"/>
      <c r="L28" s="238"/>
      <c r="M28" s="237"/>
      <c r="N28" s="237"/>
      <c r="O28" s="237"/>
      <c r="P28" s="237"/>
      <c r="Q28" s="237"/>
      <c r="R28" s="237"/>
      <c r="S28" s="223"/>
      <c r="T28" s="243"/>
      <c r="U28" s="239" t="s">
        <v>677</v>
      </c>
      <c r="V28" s="244"/>
    </row>
    <row r="29" spans="1:22" ht="15.5" x14ac:dyDescent="0.35">
      <c r="A29" s="59"/>
      <c r="B29" s="248" t="s">
        <v>651</v>
      </c>
      <c r="C29" s="242" t="s">
        <v>652</v>
      </c>
      <c r="D29" s="249">
        <v>1</v>
      </c>
      <c r="E29" s="237">
        <v>19340</v>
      </c>
      <c r="F29" s="237"/>
      <c r="G29" s="237">
        <f t="shared" ref="G29:G34" si="6">IF($M29&gt;$U$11,($E29-$U$11)*$W$11,"ERROR")</f>
        <v>1541.12</v>
      </c>
      <c r="H29" s="237"/>
      <c r="I29" s="237">
        <f t="shared" ref="I29:I34" si="7">$E29*$V$13</f>
        <v>4579.7120000000004</v>
      </c>
      <c r="J29" s="237"/>
      <c r="K29" s="237">
        <f t="shared" si="5"/>
        <v>25461</v>
      </c>
      <c r="L29" s="238"/>
      <c r="M29" s="237">
        <f t="shared" ref="M29:M34" si="8">E29</f>
        <v>19340</v>
      </c>
      <c r="N29" s="237"/>
      <c r="O29" s="237"/>
      <c r="P29" s="237">
        <f t="shared" ref="P29:P34" si="9">IF($M29&gt;$U$11,($M29-$U$11)*$W$11,"ERROR")</f>
        <v>1541.12</v>
      </c>
      <c r="Q29" s="237"/>
      <c r="R29" s="237">
        <f t="shared" ref="R29:R34" si="10">SUM(M29:P29)</f>
        <v>20881.12</v>
      </c>
      <c r="S29" s="223"/>
      <c r="T29" s="243"/>
      <c r="U29" s="239"/>
      <c r="V29" s="244"/>
    </row>
    <row r="30" spans="1:22" ht="15.5" x14ac:dyDescent="0.35">
      <c r="A30" s="59"/>
      <c r="B30" s="248" t="s">
        <v>653</v>
      </c>
      <c r="C30" s="242" t="s">
        <v>654</v>
      </c>
      <c r="D30" s="249">
        <v>2</v>
      </c>
      <c r="E30" s="237">
        <v>21559</v>
      </c>
      <c r="F30" s="237"/>
      <c r="G30" s="237">
        <f t="shared" si="6"/>
        <v>1875.0794999999998</v>
      </c>
      <c r="H30" s="237"/>
      <c r="I30" s="237">
        <f t="shared" si="7"/>
        <v>5105.1711999999998</v>
      </c>
      <c r="J30" s="237"/>
      <c r="K30" s="237">
        <f t="shared" si="5"/>
        <v>28539</v>
      </c>
      <c r="L30" s="238"/>
      <c r="M30" s="237">
        <f t="shared" si="8"/>
        <v>21559</v>
      </c>
      <c r="N30" s="237"/>
      <c r="O30" s="237"/>
      <c r="P30" s="237">
        <f t="shared" si="9"/>
        <v>1875.0794999999998</v>
      </c>
      <c r="Q30" s="237"/>
      <c r="R30" s="237">
        <f t="shared" si="10"/>
        <v>23434.0795</v>
      </c>
      <c r="S30" s="223"/>
      <c r="T30" s="243"/>
      <c r="U30" s="239"/>
      <c r="V30" s="244"/>
    </row>
    <row r="31" spans="1:22" ht="15.5" x14ac:dyDescent="0.35">
      <c r="A31" s="59"/>
      <c r="B31" s="250"/>
      <c r="C31" s="242"/>
      <c r="D31" s="249">
        <v>3</v>
      </c>
      <c r="E31" s="237">
        <v>23777</v>
      </c>
      <c r="F31" s="237"/>
      <c r="G31" s="237">
        <f t="shared" si="6"/>
        <v>2208.8885</v>
      </c>
      <c r="H31" s="237"/>
      <c r="I31" s="237">
        <f t="shared" si="7"/>
        <v>5630.3936000000003</v>
      </c>
      <c r="J31" s="237"/>
      <c r="K31" s="237">
        <f t="shared" si="5"/>
        <v>31616</v>
      </c>
      <c r="L31" s="238"/>
      <c r="M31" s="237">
        <f t="shared" si="8"/>
        <v>23777</v>
      </c>
      <c r="N31" s="237"/>
      <c r="O31" s="237"/>
      <c r="P31" s="237">
        <f t="shared" si="9"/>
        <v>2208.8885</v>
      </c>
      <c r="Q31" s="237"/>
      <c r="R31" s="237">
        <f t="shared" si="10"/>
        <v>25985.888500000001</v>
      </c>
      <c r="S31" s="223"/>
      <c r="T31" s="243"/>
      <c r="U31" s="239"/>
    </row>
    <row r="32" spans="1:22" ht="15.5" x14ac:dyDescent="0.35">
      <c r="A32" s="59"/>
      <c r="B32" s="250"/>
      <c r="C32" s="242"/>
      <c r="D32" s="249">
        <v>4</v>
      </c>
      <c r="E32" s="237">
        <v>25733</v>
      </c>
      <c r="F32" s="237"/>
      <c r="G32" s="237">
        <f t="shared" si="6"/>
        <v>2503.2664999999997</v>
      </c>
      <c r="H32" s="237"/>
      <c r="I32" s="237">
        <f t="shared" si="7"/>
        <v>6093.5744000000004</v>
      </c>
      <c r="J32" s="237"/>
      <c r="K32" s="237">
        <f t="shared" si="5"/>
        <v>34330</v>
      </c>
      <c r="L32" s="238"/>
      <c r="M32" s="237">
        <f t="shared" si="8"/>
        <v>25733</v>
      </c>
      <c r="N32" s="237"/>
      <c r="O32" s="237"/>
      <c r="P32" s="237">
        <f t="shared" si="9"/>
        <v>2503.2664999999997</v>
      </c>
      <c r="Q32" s="237"/>
      <c r="R32" s="237">
        <f t="shared" si="10"/>
        <v>28236.266499999998</v>
      </c>
      <c r="S32" s="223"/>
      <c r="T32" s="243"/>
      <c r="U32" s="239"/>
    </row>
    <row r="33" spans="1:22" ht="15.5" x14ac:dyDescent="0.35">
      <c r="A33" s="59"/>
      <c r="B33" s="247"/>
      <c r="C33" s="242"/>
      <c r="D33" s="249">
        <v>5</v>
      </c>
      <c r="E33" s="237">
        <v>27954</v>
      </c>
      <c r="F33" s="237"/>
      <c r="G33" s="237">
        <f t="shared" si="6"/>
        <v>2837.527</v>
      </c>
      <c r="H33" s="237"/>
      <c r="I33" s="237">
        <f t="shared" si="7"/>
        <v>6619.5072</v>
      </c>
      <c r="J33" s="237"/>
      <c r="K33" s="237">
        <f t="shared" si="5"/>
        <v>37412</v>
      </c>
      <c r="L33" s="238"/>
      <c r="M33" s="237">
        <f t="shared" si="8"/>
        <v>27954</v>
      </c>
      <c r="N33" s="237"/>
      <c r="O33" s="237"/>
      <c r="P33" s="237">
        <f t="shared" si="9"/>
        <v>2837.527</v>
      </c>
      <c r="Q33" s="237"/>
      <c r="R33" s="237">
        <f t="shared" si="10"/>
        <v>30791.527000000002</v>
      </c>
      <c r="S33" s="223"/>
      <c r="T33" s="243"/>
      <c r="U33" s="239"/>
      <c r="V33" s="244"/>
    </row>
    <row r="34" spans="1:22" ht="15.5" x14ac:dyDescent="0.35">
      <c r="A34" s="59"/>
      <c r="B34" s="247"/>
      <c r="C34" s="242"/>
      <c r="D34" s="249">
        <v>6</v>
      </c>
      <c r="E34" s="237">
        <v>30172</v>
      </c>
      <c r="F34" s="237"/>
      <c r="G34" s="237">
        <f t="shared" si="6"/>
        <v>3171.3359999999998</v>
      </c>
      <c r="H34" s="237"/>
      <c r="I34" s="237">
        <f t="shared" si="7"/>
        <v>7144.7296000000006</v>
      </c>
      <c r="J34" s="237"/>
      <c r="K34" s="237">
        <f t="shared" si="5"/>
        <v>40488</v>
      </c>
      <c r="L34" s="238"/>
      <c r="M34" s="237">
        <f t="shared" si="8"/>
        <v>30172</v>
      </c>
      <c r="N34" s="237"/>
      <c r="O34" s="237"/>
      <c r="P34" s="237">
        <f t="shared" si="9"/>
        <v>3171.3359999999998</v>
      </c>
      <c r="Q34" s="237"/>
      <c r="R34" s="237">
        <f t="shared" si="10"/>
        <v>33343.336000000003</v>
      </c>
      <c r="S34" s="223"/>
      <c r="T34" s="243"/>
      <c r="U34" s="239"/>
      <c r="V34" s="244"/>
    </row>
    <row r="35" spans="1:22" ht="15.5" x14ac:dyDescent="0.35">
      <c r="A35" s="59"/>
      <c r="B35" s="247"/>
      <c r="C35" s="242"/>
      <c r="D35" s="249"/>
      <c r="E35" s="251"/>
      <c r="F35" s="251"/>
      <c r="G35" s="251"/>
      <c r="H35" s="251"/>
      <c r="I35" s="251"/>
      <c r="J35" s="251"/>
      <c r="K35" s="251"/>
      <c r="L35" s="252"/>
      <c r="M35" s="251"/>
      <c r="N35" s="251"/>
      <c r="O35" s="251"/>
      <c r="P35" s="251"/>
      <c r="Q35" s="251"/>
      <c r="R35" s="251"/>
      <c r="S35" s="223"/>
      <c r="T35" s="243"/>
      <c r="U35" s="239"/>
      <c r="V35" s="244"/>
    </row>
    <row r="36" spans="1:22" ht="15.5" x14ac:dyDescent="0.35">
      <c r="A36" s="59"/>
      <c r="B36" s="247"/>
      <c r="C36" s="242"/>
      <c r="D36" s="249"/>
      <c r="E36" s="251"/>
      <c r="F36" s="251"/>
      <c r="G36" s="251"/>
      <c r="H36" s="251"/>
      <c r="I36" s="251"/>
      <c r="J36" s="251"/>
      <c r="K36" s="251"/>
      <c r="L36" s="252"/>
      <c r="M36" s="251"/>
      <c r="N36" s="251"/>
      <c r="O36" s="251"/>
      <c r="P36" s="251"/>
      <c r="Q36" s="251"/>
      <c r="R36" s="251"/>
      <c r="S36" s="223"/>
      <c r="T36" s="243"/>
      <c r="U36" s="239"/>
      <c r="V36" s="244"/>
    </row>
    <row r="37" spans="1:22" ht="16" thickBot="1" x14ac:dyDescent="0.4">
      <c r="A37" s="59"/>
      <c r="B37" s="776"/>
      <c r="C37" s="777"/>
      <c r="D37" s="778"/>
      <c r="E37" s="779"/>
      <c r="F37" s="779"/>
      <c r="G37" s="779"/>
      <c r="H37" s="779"/>
      <c r="I37" s="779"/>
      <c r="J37" s="779"/>
      <c r="K37" s="779"/>
      <c r="L37" s="780"/>
      <c r="M37" s="781"/>
      <c r="N37" s="779"/>
      <c r="O37" s="779"/>
      <c r="P37" s="779"/>
      <c r="Q37" s="779"/>
      <c r="R37" s="779"/>
      <c r="S37" s="775"/>
      <c r="T37" s="243"/>
      <c r="U37" s="239"/>
    </row>
    <row r="38" spans="1:22" ht="13.5" thickBot="1" x14ac:dyDescent="0.35">
      <c r="B38" s="253"/>
      <c r="C38" s="230"/>
      <c r="D38" s="254"/>
      <c r="E38" s="255"/>
      <c r="F38" s="255"/>
      <c r="G38" s="255"/>
      <c r="H38" s="255"/>
      <c r="I38" s="255"/>
      <c r="J38" s="255"/>
      <c r="K38" s="255"/>
      <c r="L38" s="255"/>
      <c r="M38" s="255"/>
      <c r="N38" s="255"/>
      <c r="O38" s="255"/>
      <c r="P38" s="255"/>
      <c r="Q38" s="255"/>
      <c r="R38" s="255"/>
      <c r="T38" s="243"/>
    </row>
    <row r="39" spans="1:22" ht="13" x14ac:dyDescent="0.3">
      <c r="A39" s="59" t="s">
        <v>655</v>
      </c>
      <c r="B39" s="256" t="s">
        <v>656</v>
      </c>
      <c r="C39" s="257"/>
      <c r="D39" s="258"/>
      <c r="E39" s="259"/>
      <c r="F39" s="259"/>
      <c r="G39" s="260"/>
      <c r="H39" s="255"/>
      <c r="I39" s="255"/>
      <c r="J39" s="255"/>
      <c r="K39" s="255"/>
      <c r="L39" s="255"/>
      <c r="M39" s="255"/>
      <c r="N39" s="255"/>
      <c r="O39" s="255"/>
      <c r="P39" s="255"/>
      <c r="Q39" s="255"/>
      <c r="R39" s="255"/>
      <c r="T39" s="243"/>
    </row>
    <row r="40" spans="1:22" x14ac:dyDescent="0.25">
      <c r="B40" s="195"/>
      <c r="C40" s="261"/>
      <c r="D40" s="262"/>
      <c r="E40" s="263"/>
      <c r="F40" s="263"/>
      <c r="G40" s="264"/>
      <c r="T40" s="243"/>
    </row>
    <row r="41" spans="1:22" x14ac:dyDescent="0.25">
      <c r="B41" s="195" t="s">
        <v>657</v>
      </c>
      <c r="C41" s="261"/>
      <c r="D41" s="262"/>
      <c r="E41" s="263"/>
      <c r="F41" s="263"/>
      <c r="G41" s="264"/>
      <c r="H41" s="101" t="s">
        <v>658</v>
      </c>
      <c r="T41" s="243"/>
    </row>
    <row r="42" spans="1:22" x14ac:dyDescent="0.25">
      <c r="B42" s="195" t="s">
        <v>659</v>
      </c>
      <c r="C42" s="261"/>
      <c r="D42" s="262"/>
      <c r="E42" s="265">
        <v>600</v>
      </c>
      <c r="F42" s="263"/>
      <c r="G42" s="264"/>
      <c r="T42" s="243"/>
    </row>
    <row r="43" spans="1:22" x14ac:dyDescent="0.25">
      <c r="B43" s="195" t="s">
        <v>660</v>
      </c>
      <c r="C43" s="261"/>
      <c r="D43" s="262"/>
      <c r="E43" s="265">
        <v>2975</v>
      </c>
      <c r="F43" s="263"/>
      <c r="G43" s="264"/>
    </row>
    <row r="44" spans="1:22" x14ac:dyDescent="0.25">
      <c r="B44" s="195"/>
      <c r="C44" s="261"/>
      <c r="D44" s="262"/>
      <c r="E44" s="265"/>
      <c r="F44" s="263"/>
      <c r="G44" s="264"/>
    </row>
    <row r="45" spans="1:22" x14ac:dyDescent="0.25">
      <c r="B45" s="195" t="s">
        <v>661</v>
      </c>
      <c r="C45" s="266"/>
      <c r="D45" s="196"/>
      <c r="E45" s="265"/>
      <c r="F45" s="266"/>
      <c r="G45" s="267"/>
      <c r="H45" s="101" t="s">
        <v>662</v>
      </c>
    </row>
    <row r="46" spans="1:22" x14ac:dyDescent="0.25">
      <c r="B46" s="195" t="s">
        <v>659</v>
      </c>
      <c r="C46" s="266"/>
      <c r="D46" s="196"/>
      <c r="E46" s="265">
        <v>3017</v>
      </c>
      <c r="F46" s="266"/>
      <c r="G46" s="264"/>
    </row>
    <row r="47" spans="1:22" x14ac:dyDescent="0.25">
      <c r="B47" s="195" t="s">
        <v>660</v>
      </c>
      <c r="C47" s="266"/>
      <c r="D47" s="196"/>
      <c r="E47" s="265">
        <v>7368</v>
      </c>
      <c r="F47" s="266"/>
      <c r="G47" s="264"/>
    </row>
    <row r="48" spans="1:22" x14ac:dyDescent="0.25">
      <c r="B48" s="195"/>
      <c r="C48" s="266"/>
      <c r="D48" s="196"/>
      <c r="E48" s="265"/>
      <c r="F48" s="266"/>
      <c r="G48" s="264"/>
    </row>
    <row r="49" spans="2:22" x14ac:dyDescent="0.25">
      <c r="B49" s="195" t="s">
        <v>663</v>
      </c>
      <c r="C49" s="266"/>
      <c r="D49" s="196"/>
      <c r="E49" s="265"/>
      <c r="F49" s="266"/>
      <c r="G49" s="264"/>
      <c r="H49" s="101" t="s">
        <v>664</v>
      </c>
    </row>
    <row r="50" spans="2:22" x14ac:dyDescent="0.25">
      <c r="B50" s="268" t="s">
        <v>659</v>
      </c>
      <c r="C50" s="196"/>
      <c r="D50" s="196"/>
      <c r="E50" s="265">
        <v>8706</v>
      </c>
      <c r="F50" s="266"/>
      <c r="G50" s="264"/>
      <c r="V50" s="244"/>
    </row>
    <row r="51" spans="2:22" x14ac:dyDescent="0.25">
      <c r="B51" s="268" t="s">
        <v>660</v>
      </c>
      <c r="C51" s="196"/>
      <c r="D51" s="196"/>
      <c r="E51" s="265">
        <v>14732</v>
      </c>
      <c r="F51" s="266"/>
      <c r="G51" s="264"/>
      <c r="V51" s="244"/>
    </row>
    <row r="52" spans="2:22" x14ac:dyDescent="0.25">
      <c r="B52" s="268"/>
      <c r="C52" s="196"/>
      <c r="D52" s="196"/>
      <c r="E52" s="265"/>
      <c r="F52" s="266"/>
      <c r="G52" s="264"/>
    </row>
    <row r="53" spans="2:22" x14ac:dyDescent="0.25">
      <c r="B53" s="268" t="s">
        <v>665</v>
      </c>
      <c r="C53" s="196"/>
      <c r="D53" s="196"/>
      <c r="E53" s="265">
        <v>2384</v>
      </c>
      <c r="F53" s="266"/>
      <c r="G53" s="264"/>
    </row>
    <row r="54" spans="2:22" ht="13" thickBot="1" x14ac:dyDescent="0.3">
      <c r="B54" s="769" t="s">
        <v>666</v>
      </c>
      <c r="C54" s="782"/>
      <c r="D54" s="782"/>
      <c r="E54" s="783">
        <v>4703</v>
      </c>
      <c r="F54" s="784"/>
      <c r="G54" s="785"/>
      <c r="V54" s="244"/>
    </row>
    <row r="55" spans="2:22" x14ac:dyDescent="0.25">
      <c r="V55" s="244"/>
    </row>
    <row r="57" spans="2:22" ht="13" x14ac:dyDescent="0.3">
      <c r="B57" s="59"/>
      <c r="V57" s="244"/>
    </row>
    <row r="58" spans="2:22" x14ac:dyDescent="0.25">
      <c r="V58" s="244"/>
    </row>
    <row r="59" spans="2:22" x14ac:dyDescent="0.25">
      <c r="B59" s="269"/>
      <c r="C59"/>
      <c r="E59" s="255"/>
      <c r="F59"/>
      <c r="G59"/>
    </row>
    <row r="60" spans="2:22" x14ac:dyDescent="0.25">
      <c r="C60"/>
      <c r="E60" s="255"/>
      <c r="F60"/>
      <c r="G60"/>
    </row>
    <row r="61" spans="2:22" x14ac:dyDescent="0.25">
      <c r="D61" s="146"/>
    </row>
    <row r="62" spans="2:22" x14ac:dyDescent="0.25">
      <c r="D62" s="146"/>
    </row>
    <row r="63" spans="2:22" x14ac:dyDescent="0.25">
      <c r="D63" s="146"/>
    </row>
    <row r="64" spans="2:22" x14ac:dyDescent="0.25">
      <c r="D64" s="146"/>
    </row>
    <row r="65" spans="4:4" x14ac:dyDescent="0.25">
      <c r="D65" s="146"/>
    </row>
    <row r="66" spans="4:4" x14ac:dyDescent="0.25">
      <c r="D66" s="146"/>
    </row>
  </sheetData>
  <mergeCells count="3">
    <mergeCell ref="B3:S4"/>
    <mergeCell ref="B5:S5"/>
    <mergeCell ref="B6:S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E395-B246-4A50-AA10-CA3A254A69F9}">
  <sheetPr>
    <tabColor rgb="FFFFC000"/>
  </sheetPr>
  <dimension ref="A1:AB66"/>
  <sheetViews>
    <sheetView topLeftCell="A10" workbookViewId="0">
      <selection activeCell="P37" sqref="P37"/>
    </sheetView>
  </sheetViews>
  <sheetFormatPr defaultColWidth="8.26953125" defaultRowHeight="12.5" x14ac:dyDescent="0.25"/>
  <cols>
    <col min="1" max="1" width="11.453125" style="101" customWidth="1"/>
    <col min="2" max="2" width="9.54296875" style="101" customWidth="1"/>
    <col min="3" max="3" width="14.81640625" style="101" customWidth="1"/>
    <col min="4" max="4" width="8.81640625" style="101" customWidth="1"/>
    <col min="5" max="5" width="13.7265625" style="101" customWidth="1"/>
    <col min="6" max="6" width="4.1796875" style="101" customWidth="1"/>
    <col min="7" max="7" width="9.81640625" style="101" customWidth="1"/>
    <col min="8" max="8" width="3.81640625" style="101" customWidth="1"/>
    <col min="9" max="9" width="15.81640625" style="101" bestFit="1" customWidth="1"/>
    <col min="10" max="10" width="2.7265625" style="101" customWidth="1"/>
    <col min="11" max="11" width="10.453125" style="101" customWidth="1"/>
    <col min="12" max="12" width="2.26953125" style="101" customWidth="1"/>
    <col min="13" max="13" width="10.453125" style="101" customWidth="1"/>
    <col min="14" max="14" width="0.81640625" style="101" customWidth="1"/>
    <col min="15" max="15" width="1.453125" style="101" customWidth="1"/>
    <col min="16" max="16" width="11.1796875" style="101" customWidth="1"/>
    <col min="17" max="17" width="2.81640625" style="101" customWidth="1"/>
    <col min="18" max="18" width="9.81640625" style="101" bestFit="1" customWidth="1"/>
    <col min="19" max="19" width="2.26953125" style="101" customWidth="1"/>
    <col min="20" max="20" width="9.453125" style="101" customWidth="1"/>
    <col min="21" max="21" width="12.1796875" style="101" bestFit="1" customWidth="1"/>
    <col min="22" max="23" width="9.453125" style="101" customWidth="1"/>
    <col min="24" max="26" width="8.26953125" style="101"/>
    <col min="27" max="27" width="8.54296875" style="101" bestFit="1" customWidth="1"/>
    <col min="28" max="16384" width="8.26953125" style="101"/>
  </cols>
  <sheetData>
    <row r="1" spans="1:28" s="183" customFormat="1" ht="39.65" customHeight="1" thickBot="1" x14ac:dyDescent="0.35">
      <c r="A1" s="59" t="s">
        <v>609</v>
      </c>
      <c r="B1" s="178" t="s">
        <v>669</v>
      </c>
      <c r="C1" s="179"/>
      <c r="D1" s="179"/>
      <c r="E1" s="179"/>
      <c r="F1" s="180"/>
      <c r="G1" s="179"/>
      <c r="H1" s="179"/>
      <c r="I1" s="179"/>
      <c r="J1" s="179"/>
      <c r="K1" s="179"/>
      <c r="L1" s="179"/>
      <c r="M1" s="179"/>
      <c r="N1" s="179"/>
      <c r="O1" s="179"/>
      <c r="P1" s="179"/>
      <c r="Q1" s="179"/>
      <c r="R1" s="181" t="s">
        <v>273</v>
      </c>
      <c r="S1" s="182"/>
    </row>
    <row r="2" spans="1:28" s="183" customFormat="1" ht="12.65" customHeight="1" x14ac:dyDescent="0.3">
      <c r="A2" s="59"/>
      <c r="B2" s="184"/>
      <c r="C2" s="184"/>
      <c r="D2" s="184"/>
      <c r="E2" s="184"/>
      <c r="F2" s="185"/>
      <c r="G2" s="184"/>
      <c r="H2" s="184"/>
      <c r="I2" s="184"/>
      <c r="J2" s="184"/>
      <c r="K2" s="184"/>
      <c r="L2" s="184"/>
      <c r="M2" s="184"/>
      <c r="N2" s="184"/>
      <c r="O2" s="184"/>
      <c r="P2" s="184"/>
      <c r="Q2" s="184"/>
      <c r="R2" s="184"/>
      <c r="S2" s="184"/>
      <c r="U2" s="186"/>
    </row>
    <row r="3" spans="1:28" s="183" customFormat="1" ht="64.900000000000006" customHeight="1" x14ac:dyDescent="0.3">
      <c r="A3" s="59" t="s">
        <v>611</v>
      </c>
      <c r="B3" s="1081" t="s">
        <v>612</v>
      </c>
      <c r="C3" s="1082"/>
      <c r="D3" s="1082"/>
      <c r="E3" s="1082"/>
      <c r="F3" s="1082"/>
      <c r="G3" s="1082"/>
      <c r="H3" s="1082"/>
      <c r="I3" s="1082"/>
      <c r="J3" s="1082"/>
      <c r="K3" s="1082"/>
      <c r="L3" s="1082"/>
      <c r="M3" s="1082"/>
      <c r="N3" s="1082"/>
      <c r="O3" s="1082"/>
      <c r="P3" s="1082"/>
      <c r="Q3" s="1082"/>
      <c r="R3" s="1082"/>
      <c r="S3" s="1082"/>
      <c r="U3" s="186"/>
    </row>
    <row r="4" spans="1:28" s="183" customFormat="1" ht="18.649999999999999" customHeight="1" thickBot="1" x14ac:dyDescent="0.35">
      <c r="A4" s="59"/>
      <c r="B4" s="1082"/>
      <c r="C4" s="1082"/>
      <c r="D4" s="1082"/>
      <c r="E4" s="1082"/>
      <c r="F4" s="1082"/>
      <c r="G4" s="1082"/>
      <c r="H4" s="1082"/>
      <c r="I4" s="1082"/>
      <c r="J4" s="1082"/>
      <c r="K4" s="1082"/>
      <c r="L4" s="1082"/>
      <c r="M4" s="1082"/>
      <c r="N4" s="1082"/>
      <c r="O4" s="1082"/>
      <c r="P4" s="1082"/>
      <c r="Q4" s="1082"/>
      <c r="R4" s="1082"/>
      <c r="S4" s="1082"/>
      <c r="U4" s="186"/>
    </row>
    <row r="5" spans="1:28" s="190" customFormat="1" ht="16" x14ac:dyDescent="0.4">
      <c r="A5" s="59" t="s">
        <v>613</v>
      </c>
      <c r="B5" s="1083" t="s">
        <v>670</v>
      </c>
      <c r="C5" s="1083"/>
      <c r="D5" s="1083"/>
      <c r="E5" s="1083"/>
      <c r="F5" s="1083"/>
      <c r="G5" s="1083"/>
      <c r="H5" s="1083"/>
      <c r="I5" s="1083"/>
      <c r="J5" s="1083"/>
      <c r="K5" s="1083"/>
      <c r="L5" s="1083"/>
      <c r="M5" s="1083"/>
      <c r="N5" s="1083"/>
      <c r="O5" s="1083"/>
      <c r="P5" s="1084"/>
      <c r="Q5" s="1084"/>
      <c r="R5" s="1084"/>
      <c r="S5" s="1084"/>
      <c r="T5" s="59" t="s">
        <v>615</v>
      </c>
      <c r="U5" s="187" t="s">
        <v>616</v>
      </c>
      <c r="V5" s="188">
        <v>1</v>
      </c>
      <c r="W5" s="189">
        <v>2</v>
      </c>
      <c r="Y5" s="191"/>
      <c r="Z5" s="644"/>
      <c r="AA5" s="644"/>
      <c r="AB5" s="644"/>
    </row>
    <row r="6" spans="1:28" ht="15.5" x14ac:dyDescent="0.45">
      <c r="A6" s="59" t="s">
        <v>617</v>
      </c>
      <c r="B6" s="1098" t="s">
        <v>671</v>
      </c>
      <c r="C6" s="1083"/>
      <c r="D6" s="1083"/>
      <c r="E6" s="1083"/>
      <c r="F6" s="1083"/>
      <c r="G6" s="1083"/>
      <c r="H6" s="1083"/>
      <c r="I6" s="1083"/>
      <c r="J6" s="1083"/>
      <c r="K6" s="1083"/>
      <c r="L6" s="1083"/>
      <c r="M6" s="1083"/>
      <c r="N6" s="1083"/>
      <c r="O6" s="1083"/>
      <c r="P6" s="1084"/>
      <c r="Q6" s="1084"/>
      <c r="R6" s="1084"/>
      <c r="S6" s="1084"/>
      <c r="U6" s="195">
        <v>0</v>
      </c>
      <c r="V6" s="196">
        <v>0</v>
      </c>
      <c r="W6" s="197">
        <v>0</v>
      </c>
      <c r="Y6" s="191"/>
      <c r="Z6" s="645"/>
      <c r="AA6" s="645"/>
      <c r="AB6" s="645"/>
    </row>
    <row r="7" spans="1:28" ht="16" thickBot="1" x14ac:dyDescent="0.5">
      <c r="B7" s="201"/>
      <c r="C7" s="59"/>
      <c r="D7" s="59"/>
      <c r="E7" s="59"/>
      <c r="F7" s="59"/>
      <c r="G7" s="59"/>
      <c r="H7" s="59"/>
      <c r="I7" s="59"/>
      <c r="J7" s="59"/>
      <c r="K7" s="59"/>
      <c r="L7" s="59"/>
      <c r="M7" s="59"/>
      <c r="N7" s="59"/>
      <c r="O7" s="59"/>
      <c r="P7" s="59"/>
      <c r="Q7" s="59"/>
      <c r="R7" s="59"/>
      <c r="S7" s="59"/>
      <c r="U7" s="195"/>
      <c r="V7" s="196"/>
      <c r="W7" s="197"/>
      <c r="Y7" s="191"/>
      <c r="Z7" s="645"/>
      <c r="AA7" s="646"/>
      <c r="AB7" s="646"/>
    </row>
    <row r="8" spans="1:28" ht="15.5" x14ac:dyDescent="0.45">
      <c r="A8" s="59" t="s">
        <v>620</v>
      </c>
      <c r="B8" s="204"/>
      <c r="C8" s="205" t="s">
        <v>621</v>
      </c>
      <c r="D8" s="206"/>
      <c r="E8" s="205" t="s">
        <v>672</v>
      </c>
      <c r="F8" s="206"/>
      <c r="G8" s="206"/>
      <c r="H8" s="206"/>
      <c r="I8" s="206"/>
      <c r="J8" s="206"/>
      <c r="K8" s="206"/>
      <c r="L8" s="206"/>
      <c r="M8" s="205" t="s">
        <v>673</v>
      </c>
      <c r="N8" s="207"/>
      <c r="O8" s="207"/>
      <c r="P8" s="206"/>
      <c r="Q8" s="206"/>
      <c r="R8" s="206"/>
      <c r="S8" s="208"/>
      <c r="U8" s="195"/>
      <c r="V8" s="196"/>
      <c r="W8" s="197"/>
      <c r="Y8" s="647"/>
      <c r="Z8" s="645"/>
      <c r="AA8" s="646"/>
      <c r="AB8" s="646"/>
    </row>
    <row r="9" spans="1:28" ht="15.5" x14ac:dyDescent="0.45">
      <c r="A9" s="59"/>
      <c r="B9" s="209"/>
      <c r="C9" s="210"/>
      <c r="D9" s="210"/>
      <c r="E9" s="211"/>
      <c r="F9" s="210"/>
      <c r="G9" s="210"/>
      <c r="H9" s="210"/>
      <c r="I9" s="210"/>
      <c r="J9" s="210"/>
      <c r="K9" s="210"/>
      <c r="L9" s="210"/>
      <c r="M9" s="210"/>
      <c r="N9" s="196"/>
      <c r="O9" s="210"/>
      <c r="P9" s="210"/>
      <c r="Q9" s="210"/>
      <c r="R9" s="210"/>
      <c r="S9" s="212"/>
      <c r="U9" s="195"/>
      <c r="V9" s="213"/>
      <c r="W9" s="214"/>
      <c r="Y9" s="215"/>
      <c r="Z9" s="645"/>
      <c r="AA9" s="646"/>
      <c r="AB9" s="646"/>
    </row>
    <row r="10" spans="1:28" ht="16" thickBot="1" x14ac:dyDescent="0.5">
      <c r="A10" s="59"/>
      <c r="B10" s="760" t="s">
        <v>674</v>
      </c>
      <c r="C10" s="761"/>
      <c r="D10" s="761"/>
      <c r="E10" s="761"/>
      <c r="F10" s="762"/>
      <c r="G10" s="761"/>
      <c r="H10" s="762"/>
      <c r="I10" s="761"/>
      <c r="J10" s="762"/>
      <c r="K10" s="761"/>
      <c r="L10" s="762"/>
      <c r="M10" s="762"/>
      <c r="N10" s="762"/>
      <c r="O10" s="762"/>
      <c r="P10" s="762"/>
      <c r="Q10" s="762"/>
      <c r="R10" s="762"/>
      <c r="S10" s="763"/>
      <c r="U10" s="195"/>
      <c r="V10" s="213"/>
      <c r="W10" s="214"/>
      <c r="Y10" s="191"/>
      <c r="Z10" s="645"/>
      <c r="AA10" s="646"/>
      <c r="AB10" s="646"/>
    </row>
    <row r="11" spans="1:28" ht="16" thickBot="1" x14ac:dyDescent="0.5">
      <c r="B11" s="764"/>
      <c r="C11" s="765"/>
      <c r="D11" s="765"/>
      <c r="E11" s="765"/>
      <c r="F11" s="765"/>
      <c r="G11" s="765"/>
      <c r="H11" s="765"/>
      <c r="I11" s="765"/>
      <c r="J11" s="765"/>
      <c r="K11" s="765"/>
      <c r="L11" s="765"/>
      <c r="M11" s="765"/>
      <c r="N11" s="765"/>
      <c r="O11" s="765"/>
      <c r="P11" s="765"/>
      <c r="Q11" s="765"/>
      <c r="R11" s="765"/>
      <c r="S11" s="765"/>
      <c r="U11" s="195">
        <v>9100</v>
      </c>
      <c r="V11" s="213">
        <v>0</v>
      </c>
      <c r="W11" s="214">
        <v>0.13800000000000001</v>
      </c>
      <c r="Y11" s="191"/>
      <c r="Z11" s="648"/>
      <c r="AA11" s="646"/>
      <c r="AB11" s="645"/>
    </row>
    <row r="12" spans="1:28" ht="15.5" x14ac:dyDescent="0.35">
      <c r="A12" s="59" t="s">
        <v>628</v>
      </c>
      <c r="B12" s="216"/>
      <c r="C12" s="217"/>
      <c r="D12" s="217"/>
      <c r="E12" s="218" t="s">
        <v>629</v>
      </c>
      <c r="F12" s="219"/>
      <c r="G12" s="218"/>
      <c r="H12" s="219"/>
      <c r="I12" s="218"/>
      <c r="J12" s="219"/>
      <c r="K12" s="218"/>
      <c r="L12" s="220"/>
      <c r="M12" s="221" t="s">
        <v>630</v>
      </c>
      <c r="N12" s="222"/>
      <c r="O12" s="222"/>
      <c r="P12" s="222"/>
      <c r="Q12" s="222"/>
      <c r="R12" s="222"/>
      <c r="S12" s="223"/>
      <c r="U12" s="195"/>
      <c r="V12" s="213"/>
      <c r="W12" s="214"/>
    </row>
    <row r="13" spans="1:28" ht="16" thickBot="1" x14ac:dyDescent="0.4">
      <c r="A13" s="59"/>
      <c r="B13" s="216"/>
      <c r="C13" s="224" t="s">
        <v>631</v>
      </c>
      <c r="D13" s="224" t="s">
        <v>632</v>
      </c>
      <c r="E13" s="225" t="s">
        <v>633</v>
      </c>
      <c r="F13" s="224"/>
      <c r="G13" s="226" t="s">
        <v>634</v>
      </c>
      <c r="H13" s="224"/>
      <c r="I13" s="225" t="s">
        <v>635</v>
      </c>
      <c r="J13" s="224"/>
      <c r="K13" s="225" t="s">
        <v>141</v>
      </c>
      <c r="L13" s="227"/>
      <c r="M13" s="228" t="s">
        <v>633</v>
      </c>
      <c r="N13" s="224"/>
      <c r="O13" s="224"/>
      <c r="P13" s="226" t="s">
        <v>634</v>
      </c>
      <c r="Q13" s="224"/>
      <c r="R13" s="229" t="s">
        <v>141</v>
      </c>
      <c r="S13" s="223"/>
      <c r="U13" s="769" t="s">
        <v>627</v>
      </c>
      <c r="V13" s="770">
        <v>0.23680000000000001</v>
      </c>
      <c r="W13" s="771"/>
    </row>
    <row r="14" spans="1:28" ht="16" thickBot="1" x14ac:dyDescent="0.4">
      <c r="A14" s="59"/>
      <c r="B14" s="772"/>
      <c r="C14" s="773"/>
      <c r="D14" s="773"/>
      <c r="E14" s="773"/>
      <c r="F14" s="773"/>
      <c r="G14" s="773"/>
      <c r="H14" s="773"/>
      <c r="I14" s="773"/>
      <c r="J14" s="773"/>
      <c r="K14" s="773"/>
      <c r="L14" s="773"/>
      <c r="M14" s="774"/>
      <c r="N14" s="773"/>
      <c r="O14" s="773"/>
      <c r="P14" s="773"/>
      <c r="Q14" s="773"/>
      <c r="R14" s="773"/>
      <c r="S14" s="775"/>
      <c r="U14" s="230"/>
      <c r="V14" s="231"/>
    </row>
    <row r="15" spans="1:28" ht="15.5" x14ac:dyDescent="0.35">
      <c r="A15" s="59"/>
      <c r="B15" s="232"/>
      <c r="C15" s="233"/>
      <c r="D15" s="233"/>
      <c r="E15" s="233"/>
      <c r="F15" s="233"/>
      <c r="G15" s="233"/>
      <c r="H15" s="233"/>
      <c r="I15" s="233"/>
      <c r="J15" s="233"/>
      <c r="K15" s="233"/>
      <c r="L15" s="234"/>
      <c r="M15" s="233"/>
      <c r="N15" s="233"/>
      <c r="O15" s="233"/>
      <c r="P15" s="233"/>
      <c r="Q15" s="233"/>
      <c r="R15" s="233"/>
      <c r="S15" s="234"/>
    </row>
    <row r="16" spans="1:28" ht="16.5" customHeight="1" x14ac:dyDescent="0.35">
      <c r="A16" s="59"/>
      <c r="B16" s="216"/>
      <c r="C16" s="217" t="s">
        <v>636</v>
      </c>
      <c r="D16" s="235">
        <v>1</v>
      </c>
      <c r="E16" s="237">
        <v>28000</v>
      </c>
      <c r="F16" s="237"/>
      <c r="G16" s="237">
        <f t="shared" ref="G16:G21" si="0">IF($M16&gt;$U$11,($E16-$U$11)*$W$11,"ERROR")</f>
        <v>2608.2000000000003</v>
      </c>
      <c r="H16" s="237"/>
      <c r="I16" s="237">
        <f t="shared" ref="I16:I21" si="1">$E16*$V$13</f>
        <v>6630.4000000000005</v>
      </c>
      <c r="J16" s="237"/>
      <c r="K16" s="237">
        <f>E16+ROUND(G16,0)+ROUND(I16,0)</f>
        <v>37238</v>
      </c>
      <c r="L16" s="238"/>
      <c r="M16" s="237">
        <f t="shared" ref="M16:M21" si="2">E16</f>
        <v>28000</v>
      </c>
      <c r="N16" s="237"/>
      <c r="O16" s="237"/>
      <c r="P16" s="237">
        <f t="shared" ref="P16:P21" si="3">IF($M16&gt;$U$11,($M16-$U$11)*$W$11,"ERROR")</f>
        <v>2608.2000000000003</v>
      </c>
      <c r="Q16" s="237"/>
      <c r="R16" s="237">
        <f t="shared" ref="R16:R21" si="4">SUM(M16:P16)</f>
        <v>30608.2</v>
      </c>
      <c r="S16" s="223"/>
      <c r="U16" s="239"/>
      <c r="V16" s="240"/>
    </row>
    <row r="17" spans="1:22" ht="15.5" x14ac:dyDescent="0.35">
      <c r="A17" s="59"/>
      <c r="B17" s="241"/>
      <c r="C17" s="242"/>
      <c r="D17" s="235">
        <v>2</v>
      </c>
      <c r="E17" s="237">
        <v>29800</v>
      </c>
      <c r="F17" s="237"/>
      <c r="G17" s="237">
        <f t="shared" si="0"/>
        <v>2856.6000000000004</v>
      </c>
      <c r="H17" s="237"/>
      <c r="I17" s="237">
        <f t="shared" si="1"/>
        <v>7056.64</v>
      </c>
      <c r="J17" s="237"/>
      <c r="K17" s="237">
        <f t="shared" ref="K17:K34" si="5">E17+ROUND(G17,0)+ROUND(I17,0)</f>
        <v>39714</v>
      </c>
      <c r="L17" s="238"/>
      <c r="M17" s="237">
        <f t="shared" si="2"/>
        <v>29800</v>
      </c>
      <c r="N17" s="237"/>
      <c r="O17" s="237"/>
      <c r="P17" s="237">
        <f t="shared" si="3"/>
        <v>2856.6000000000004</v>
      </c>
      <c r="Q17" s="237"/>
      <c r="R17" s="237">
        <f t="shared" si="4"/>
        <v>32656.6</v>
      </c>
      <c r="S17" s="223"/>
      <c r="U17" s="239" t="s">
        <v>637</v>
      </c>
      <c r="V17" s="240"/>
    </row>
    <row r="18" spans="1:22" ht="15.5" x14ac:dyDescent="0.35">
      <c r="A18" s="59"/>
      <c r="B18" s="241"/>
      <c r="C18" s="242"/>
      <c r="D18" s="235">
        <v>3</v>
      </c>
      <c r="E18" s="237">
        <v>31750</v>
      </c>
      <c r="F18" s="237"/>
      <c r="G18" s="237">
        <f t="shared" si="0"/>
        <v>3125.7000000000003</v>
      </c>
      <c r="H18" s="237"/>
      <c r="I18" s="237">
        <f t="shared" si="1"/>
        <v>7518.4000000000005</v>
      </c>
      <c r="J18" s="237"/>
      <c r="K18" s="237">
        <f t="shared" si="5"/>
        <v>42394</v>
      </c>
      <c r="L18" s="238"/>
      <c r="M18" s="237">
        <f t="shared" si="2"/>
        <v>31750</v>
      </c>
      <c r="N18" s="237"/>
      <c r="O18" s="237"/>
      <c r="P18" s="237">
        <f t="shared" si="3"/>
        <v>3125.7000000000003</v>
      </c>
      <c r="Q18" s="237"/>
      <c r="R18" s="237">
        <f t="shared" si="4"/>
        <v>34875.699999999997</v>
      </c>
      <c r="S18" s="223"/>
      <c r="U18" s="239" t="s">
        <v>638</v>
      </c>
      <c r="V18" s="240"/>
    </row>
    <row r="19" spans="1:22" ht="15.5" x14ac:dyDescent="0.35">
      <c r="A19" s="59"/>
      <c r="B19" s="241"/>
      <c r="C19" s="242"/>
      <c r="D19" s="235">
        <v>4</v>
      </c>
      <c r="E19" s="237">
        <v>33850</v>
      </c>
      <c r="F19" s="237"/>
      <c r="G19" s="237">
        <f t="shared" si="0"/>
        <v>3415.5000000000005</v>
      </c>
      <c r="H19" s="237"/>
      <c r="I19" s="237">
        <f t="shared" si="1"/>
        <v>8015.68</v>
      </c>
      <c r="J19" s="237"/>
      <c r="K19" s="237">
        <f t="shared" si="5"/>
        <v>45282</v>
      </c>
      <c r="L19" s="238"/>
      <c r="M19" s="237">
        <f t="shared" si="2"/>
        <v>33850</v>
      </c>
      <c r="N19" s="237"/>
      <c r="O19" s="237"/>
      <c r="P19" s="237">
        <f t="shared" si="3"/>
        <v>3415.5000000000005</v>
      </c>
      <c r="Q19" s="237"/>
      <c r="R19" s="237">
        <f t="shared" si="4"/>
        <v>37265.5</v>
      </c>
      <c r="S19" s="223"/>
      <c r="U19" s="239"/>
      <c r="V19" s="240"/>
    </row>
    <row r="20" spans="1:22" ht="15.5" x14ac:dyDescent="0.35">
      <c r="A20" s="59"/>
      <c r="B20" s="241"/>
      <c r="C20" s="242"/>
      <c r="D20" s="235">
        <v>5</v>
      </c>
      <c r="E20" s="925">
        <f>35990+E53</f>
        <v>38374</v>
      </c>
      <c r="F20" s="237"/>
      <c r="G20" s="237">
        <f>IF($M20&gt;$U$11,($E20-$U$11)*$W$11,"ERROR")</f>
        <v>4039.8120000000004</v>
      </c>
      <c r="H20" s="237"/>
      <c r="I20" s="237">
        <f t="shared" si="1"/>
        <v>9086.9632000000001</v>
      </c>
      <c r="J20" s="237"/>
      <c r="K20" s="921">
        <f t="shared" si="5"/>
        <v>51501</v>
      </c>
      <c r="L20" s="238"/>
      <c r="M20" s="237">
        <f t="shared" si="2"/>
        <v>38374</v>
      </c>
      <c r="N20" s="237"/>
      <c r="O20" s="237"/>
      <c r="P20" s="237">
        <f t="shared" si="3"/>
        <v>4039.8120000000004</v>
      </c>
      <c r="Q20" s="237"/>
      <c r="R20" s="237">
        <f t="shared" si="4"/>
        <v>42413.811999999998</v>
      </c>
      <c r="S20" s="223"/>
      <c r="T20" s="243"/>
      <c r="U20" s="239" t="s">
        <v>639</v>
      </c>
      <c r="V20" s="244"/>
    </row>
    <row r="21" spans="1:22" ht="15.5" x14ac:dyDescent="0.35">
      <c r="A21" s="59"/>
      <c r="B21" s="241"/>
      <c r="C21" s="242"/>
      <c r="D21" s="235">
        <v>6</v>
      </c>
      <c r="E21" s="237">
        <v>38810</v>
      </c>
      <c r="F21" s="237"/>
      <c r="G21" s="237">
        <f t="shared" si="0"/>
        <v>4099.9800000000005</v>
      </c>
      <c r="H21" s="237"/>
      <c r="I21" s="237">
        <f t="shared" si="1"/>
        <v>9190.2080000000005</v>
      </c>
      <c r="J21" s="237"/>
      <c r="K21" s="237">
        <f t="shared" si="5"/>
        <v>52100</v>
      </c>
      <c r="L21" s="238"/>
      <c r="M21" s="237">
        <f t="shared" si="2"/>
        <v>38810</v>
      </c>
      <c r="N21" s="237"/>
      <c r="O21" s="237"/>
      <c r="P21" s="237">
        <f t="shared" si="3"/>
        <v>4099.9800000000005</v>
      </c>
      <c r="Q21" s="237"/>
      <c r="R21" s="237">
        <f t="shared" si="4"/>
        <v>42909.98</v>
      </c>
      <c r="S21" s="223"/>
      <c r="T21" s="243"/>
      <c r="U21" s="239" t="s">
        <v>675</v>
      </c>
      <c r="V21" s="244"/>
    </row>
    <row r="22" spans="1:22" ht="15.5" x14ac:dyDescent="0.35">
      <c r="A22" s="59"/>
      <c r="B22" s="245" t="s">
        <v>641</v>
      </c>
      <c r="C22" s="242"/>
      <c r="D22" s="235"/>
      <c r="E22" s="237"/>
      <c r="F22" s="237"/>
      <c r="G22" s="237"/>
      <c r="H22" s="237"/>
      <c r="I22" s="237"/>
      <c r="J22" s="237"/>
      <c r="K22" s="237"/>
      <c r="L22" s="238"/>
      <c r="M22" s="246" t="s">
        <v>642</v>
      </c>
      <c r="N22" s="237"/>
      <c r="O22" s="237"/>
      <c r="P22" s="237"/>
      <c r="Q22" s="237"/>
      <c r="R22" s="237"/>
      <c r="S22" s="223"/>
      <c r="U22" s="239"/>
      <c r="V22" s="244"/>
    </row>
    <row r="23" spans="1:22" ht="15.5" x14ac:dyDescent="0.35">
      <c r="A23" s="59"/>
      <c r="B23" s="241"/>
      <c r="C23" s="242" t="s">
        <v>643</v>
      </c>
      <c r="D23" s="235">
        <v>1</v>
      </c>
      <c r="E23" s="237">
        <v>40625</v>
      </c>
      <c r="F23" s="237"/>
      <c r="G23" s="237">
        <f>IF($M23&gt;$U$11,($E23-$U$11)*$W$11,"ERROR")</f>
        <v>4350.4500000000007</v>
      </c>
      <c r="H23" s="237"/>
      <c r="I23" s="237">
        <f>$E23*$V$13</f>
        <v>9620</v>
      </c>
      <c r="J23" s="237"/>
      <c r="K23" s="237">
        <f t="shared" si="5"/>
        <v>54595</v>
      </c>
      <c r="L23" s="238"/>
      <c r="M23" s="237">
        <f>E23</f>
        <v>40625</v>
      </c>
      <c r="N23" s="237"/>
      <c r="O23" s="237"/>
      <c r="P23" s="237">
        <f>IF($M23&gt;$U$11,($M23-$U$11)*$W$11,"ERROR")</f>
        <v>4350.4500000000007</v>
      </c>
      <c r="Q23" s="237"/>
      <c r="R23" s="237">
        <f>SUM(M23:P23)</f>
        <v>44975.45</v>
      </c>
      <c r="S23" s="223"/>
      <c r="T23" s="243"/>
      <c r="U23" s="239" t="s">
        <v>644</v>
      </c>
      <c r="V23" s="244"/>
    </row>
    <row r="24" spans="1:22" ht="15.5" x14ac:dyDescent="0.35">
      <c r="A24" s="59"/>
      <c r="B24" s="241"/>
      <c r="C24" s="242" t="s">
        <v>645</v>
      </c>
      <c r="D24" s="235">
        <v>2</v>
      </c>
      <c r="E24" s="237">
        <v>42131</v>
      </c>
      <c r="F24" s="237"/>
      <c r="G24" s="237">
        <f>IF($M24&gt;$U$11,($E24-$U$11)*$W$11,"ERROR")</f>
        <v>4558.2780000000002</v>
      </c>
      <c r="H24" s="237"/>
      <c r="I24" s="237">
        <f>$E24*$V$13</f>
        <v>9976.6208000000006</v>
      </c>
      <c r="J24" s="237"/>
      <c r="K24" s="237">
        <f t="shared" si="5"/>
        <v>56666</v>
      </c>
      <c r="L24" s="238"/>
      <c r="M24" s="237">
        <f>E24</f>
        <v>42131</v>
      </c>
      <c r="N24" s="237"/>
      <c r="O24" s="237"/>
      <c r="P24" s="237">
        <f>IF($M24&gt;$U$11,($M24-$U$11)*$W$11,"ERROR")</f>
        <v>4558.2780000000002</v>
      </c>
      <c r="Q24" s="237"/>
      <c r="R24" s="237">
        <f>SUM(M24:P24)</f>
        <v>46689.277999999998</v>
      </c>
      <c r="S24" s="223"/>
      <c r="T24" s="243"/>
      <c r="U24" s="239" t="s">
        <v>676</v>
      </c>
      <c r="V24" s="244"/>
    </row>
    <row r="25" spans="1:22" ht="15.5" x14ac:dyDescent="0.35">
      <c r="A25" s="59"/>
      <c r="B25" s="241"/>
      <c r="C25" s="242"/>
      <c r="D25" s="235">
        <v>3</v>
      </c>
      <c r="E25" s="237">
        <v>43685</v>
      </c>
      <c r="F25" s="237"/>
      <c r="G25" s="237">
        <f>IF($M25&gt;$U$11,($E25-$U$11)*$W$11,"ERROR")</f>
        <v>4772.7300000000005</v>
      </c>
      <c r="H25" s="237"/>
      <c r="I25" s="237">
        <f>$E25*$V$13</f>
        <v>10344.608</v>
      </c>
      <c r="J25" s="237"/>
      <c r="K25" s="237">
        <f t="shared" si="5"/>
        <v>58803</v>
      </c>
      <c r="L25" s="238"/>
      <c r="M25" s="237">
        <f>E25</f>
        <v>43685</v>
      </c>
      <c r="N25" s="237"/>
      <c r="O25" s="237"/>
      <c r="P25" s="237">
        <f>IF($M25&gt;$U$11,($M25-$U$11)*$W$11,"ERROR")</f>
        <v>4772.7300000000005</v>
      </c>
      <c r="Q25" s="237"/>
      <c r="R25" s="237">
        <f>SUM(M25:P25)</f>
        <v>48457.73</v>
      </c>
      <c r="S25" s="223"/>
      <c r="T25" s="243"/>
      <c r="U25" s="239"/>
      <c r="V25" s="244"/>
    </row>
    <row r="26" spans="1:22" ht="15.5" x14ac:dyDescent="0.35">
      <c r="A26" s="59"/>
      <c r="B26" s="241"/>
      <c r="C26" s="242"/>
      <c r="D26" s="235"/>
      <c r="E26" s="237"/>
      <c r="F26" s="237"/>
      <c r="G26" s="237"/>
      <c r="H26" s="237"/>
      <c r="I26" s="237"/>
      <c r="J26" s="237"/>
      <c r="K26" s="237"/>
      <c r="L26" s="238"/>
      <c r="M26" s="237"/>
      <c r="N26" s="237"/>
      <c r="O26" s="237"/>
      <c r="P26" s="237"/>
      <c r="Q26" s="237"/>
      <c r="R26" s="237"/>
      <c r="S26" s="223"/>
      <c r="T26" s="243"/>
      <c r="U26" s="239" t="s">
        <v>647</v>
      </c>
    </row>
    <row r="27" spans="1:22" ht="15.5" x14ac:dyDescent="0.35">
      <c r="A27" s="59"/>
      <c r="B27" s="245" t="s">
        <v>648</v>
      </c>
      <c r="C27" s="242"/>
      <c r="D27" s="235"/>
      <c r="E27" s="237"/>
      <c r="F27" s="237"/>
      <c r="G27" s="237"/>
      <c r="H27" s="237"/>
      <c r="I27" s="237"/>
      <c r="J27" s="237"/>
      <c r="K27" s="237"/>
      <c r="L27" s="238"/>
      <c r="M27" s="246" t="s">
        <v>642</v>
      </c>
      <c r="N27" s="237"/>
      <c r="O27" s="237"/>
      <c r="P27" s="237"/>
      <c r="Q27" s="237"/>
      <c r="R27" s="237"/>
      <c r="S27" s="223"/>
      <c r="T27" s="243"/>
      <c r="U27" s="239" t="s">
        <v>649</v>
      </c>
      <c r="V27" s="244"/>
    </row>
    <row r="28" spans="1:22" ht="15.5" x14ac:dyDescent="0.35">
      <c r="A28" s="59"/>
      <c r="B28" s="247"/>
      <c r="C28" s="242"/>
      <c r="D28" s="220"/>
      <c r="E28" s="237"/>
      <c r="F28" s="237"/>
      <c r="G28" s="237"/>
      <c r="H28" s="237"/>
      <c r="I28" s="237"/>
      <c r="J28" s="237"/>
      <c r="K28" s="237"/>
      <c r="L28" s="238"/>
      <c r="M28" s="237"/>
      <c r="N28" s="237"/>
      <c r="O28" s="237"/>
      <c r="P28" s="237"/>
      <c r="Q28" s="237"/>
      <c r="R28" s="237"/>
      <c r="S28" s="223"/>
      <c r="T28" s="243"/>
      <c r="U28" s="239" t="s">
        <v>677</v>
      </c>
      <c r="V28" s="244"/>
    </row>
    <row r="29" spans="1:22" ht="15.5" x14ac:dyDescent="0.35">
      <c r="A29" s="59"/>
      <c r="B29" s="248" t="s">
        <v>651</v>
      </c>
      <c r="C29" s="242" t="s">
        <v>652</v>
      </c>
      <c r="D29" s="249">
        <v>1</v>
      </c>
      <c r="E29" s="237">
        <v>19340</v>
      </c>
      <c r="F29" s="237"/>
      <c r="G29" s="237">
        <f t="shared" ref="G29:G34" si="6">IF($M29&gt;$U$11,($E29-$U$11)*$W$11,"ERROR")</f>
        <v>1413.1200000000001</v>
      </c>
      <c r="H29" s="237"/>
      <c r="I29" s="237">
        <f t="shared" ref="I29:I34" si="7">$E29*$V$13</f>
        <v>4579.7120000000004</v>
      </c>
      <c r="J29" s="237"/>
      <c r="K29" s="237">
        <f t="shared" si="5"/>
        <v>25333</v>
      </c>
      <c r="L29" s="238"/>
      <c r="M29" s="237">
        <f t="shared" ref="M29:M34" si="8">E29</f>
        <v>19340</v>
      </c>
      <c r="N29" s="237"/>
      <c r="O29" s="237"/>
      <c r="P29" s="237">
        <f t="shared" ref="P29:P34" si="9">IF($M29&gt;$U$11,($M29-$U$11)*$W$11,"ERROR")</f>
        <v>1413.1200000000001</v>
      </c>
      <c r="Q29" s="237"/>
      <c r="R29" s="237">
        <f t="shared" ref="R29:R34" si="10">SUM(M29:P29)</f>
        <v>20753.12</v>
      </c>
      <c r="S29" s="223"/>
      <c r="T29" s="243"/>
      <c r="U29" s="239"/>
      <c r="V29" s="244"/>
    </row>
    <row r="30" spans="1:22" ht="15.5" x14ac:dyDescent="0.35">
      <c r="A30" s="59"/>
      <c r="B30" s="248" t="s">
        <v>653</v>
      </c>
      <c r="C30" s="242" t="s">
        <v>654</v>
      </c>
      <c r="D30" s="249">
        <v>2</v>
      </c>
      <c r="E30" s="237">
        <v>21559</v>
      </c>
      <c r="F30" s="237"/>
      <c r="G30" s="237">
        <f t="shared" si="6"/>
        <v>1719.3420000000001</v>
      </c>
      <c r="H30" s="237"/>
      <c r="I30" s="237">
        <f t="shared" si="7"/>
        <v>5105.1711999999998</v>
      </c>
      <c r="J30" s="237"/>
      <c r="K30" s="237">
        <f t="shared" si="5"/>
        <v>28383</v>
      </c>
      <c r="L30" s="238"/>
      <c r="M30" s="237">
        <f t="shared" si="8"/>
        <v>21559</v>
      </c>
      <c r="N30" s="237"/>
      <c r="O30" s="237"/>
      <c r="P30" s="237">
        <f t="shared" si="9"/>
        <v>1719.3420000000001</v>
      </c>
      <c r="Q30" s="237"/>
      <c r="R30" s="237">
        <f t="shared" si="10"/>
        <v>23278.342000000001</v>
      </c>
      <c r="S30" s="223"/>
      <c r="T30" s="243"/>
      <c r="U30" s="239"/>
      <c r="V30" s="244"/>
    </row>
    <row r="31" spans="1:22" ht="15.5" x14ac:dyDescent="0.35">
      <c r="A31" s="59"/>
      <c r="B31" s="250"/>
      <c r="C31" s="242"/>
      <c r="D31" s="249">
        <v>3</v>
      </c>
      <c r="E31" s="237">
        <v>23777</v>
      </c>
      <c r="F31" s="237"/>
      <c r="G31" s="237">
        <f t="shared" si="6"/>
        <v>2025.4260000000002</v>
      </c>
      <c r="H31" s="237"/>
      <c r="I31" s="237">
        <f t="shared" si="7"/>
        <v>5630.3936000000003</v>
      </c>
      <c r="J31" s="237"/>
      <c r="K31" s="237">
        <f t="shared" si="5"/>
        <v>31432</v>
      </c>
      <c r="L31" s="238"/>
      <c r="M31" s="237">
        <f t="shared" si="8"/>
        <v>23777</v>
      </c>
      <c r="N31" s="237"/>
      <c r="O31" s="237"/>
      <c r="P31" s="237">
        <f t="shared" si="9"/>
        <v>2025.4260000000002</v>
      </c>
      <c r="Q31" s="237"/>
      <c r="R31" s="237">
        <f t="shared" si="10"/>
        <v>25802.425999999999</v>
      </c>
      <c r="S31" s="223"/>
      <c r="T31" s="243"/>
      <c r="U31" s="239"/>
    </row>
    <row r="32" spans="1:22" ht="15.5" x14ac:dyDescent="0.35">
      <c r="A32" s="59"/>
      <c r="B32" s="250"/>
      <c r="C32" s="242"/>
      <c r="D32" s="249">
        <v>4</v>
      </c>
      <c r="E32" s="237">
        <v>25733</v>
      </c>
      <c r="F32" s="237"/>
      <c r="G32" s="237">
        <f t="shared" si="6"/>
        <v>2295.3540000000003</v>
      </c>
      <c r="H32" s="237"/>
      <c r="I32" s="237">
        <f t="shared" si="7"/>
        <v>6093.5744000000004</v>
      </c>
      <c r="J32" s="237"/>
      <c r="K32" s="237">
        <f t="shared" si="5"/>
        <v>34122</v>
      </c>
      <c r="L32" s="238"/>
      <c r="M32" s="237">
        <f t="shared" si="8"/>
        <v>25733</v>
      </c>
      <c r="N32" s="237"/>
      <c r="O32" s="237"/>
      <c r="P32" s="237">
        <f t="shared" si="9"/>
        <v>2295.3540000000003</v>
      </c>
      <c r="Q32" s="237"/>
      <c r="R32" s="237">
        <f t="shared" si="10"/>
        <v>28028.353999999999</v>
      </c>
      <c r="S32" s="223"/>
      <c r="T32" s="243"/>
      <c r="U32" s="239"/>
    </row>
    <row r="33" spans="1:22" ht="15.5" x14ac:dyDescent="0.35">
      <c r="A33" s="59"/>
      <c r="B33" s="247"/>
      <c r="C33" s="242"/>
      <c r="D33" s="249">
        <v>5</v>
      </c>
      <c r="E33" s="237">
        <v>27954</v>
      </c>
      <c r="F33" s="237"/>
      <c r="G33" s="237">
        <f t="shared" si="6"/>
        <v>2601.8520000000003</v>
      </c>
      <c r="H33" s="237"/>
      <c r="I33" s="237">
        <f t="shared" si="7"/>
        <v>6619.5072</v>
      </c>
      <c r="J33" s="237"/>
      <c r="K33" s="237">
        <f t="shared" si="5"/>
        <v>37176</v>
      </c>
      <c r="L33" s="238"/>
      <c r="M33" s="237">
        <f t="shared" si="8"/>
        <v>27954</v>
      </c>
      <c r="N33" s="237"/>
      <c r="O33" s="237"/>
      <c r="P33" s="237">
        <f t="shared" si="9"/>
        <v>2601.8520000000003</v>
      </c>
      <c r="Q33" s="237"/>
      <c r="R33" s="237">
        <f t="shared" si="10"/>
        <v>30555.851999999999</v>
      </c>
      <c r="S33" s="223"/>
      <c r="T33" s="243"/>
      <c r="U33" s="239"/>
      <c r="V33" s="244"/>
    </row>
    <row r="34" spans="1:22" ht="15.5" x14ac:dyDescent="0.35">
      <c r="A34" s="59"/>
      <c r="B34" s="247"/>
      <c r="C34" s="242"/>
      <c r="D34" s="249">
        <v>6</v>
      </c>
      <c r="E34" s="237">
        <v>30172</v>
      </c>
      <c r="F34" s="237"/>
      <c r="G34" s="237">
        <f t="shared" si="6"/>
        <v>2907.9360000000001</v>
      </c>
      <c r="H34" s="237"/>
      <c r="I34" s="237">
        <f t="shared" si="7"/>
        <v>7144.7296000000006</v>
      </c>
      <c r="J34" s="237"/>
      <c r="K34" s="237">
        <f t="shared" si="5"/>
        <v>40225</v>
      </c>
      <c r="L34" s="238"/>
      <c r="M34" s="237">
        <f t="shared" si="8"/>
        <v>30172</v>
      </c>
      <c r="N34" s="237"/>
      <c r="O34" s="237"/>
      <c r="P34" s="237">
        <f t="shared" si="9"/>
        <v>2907.9360000000001</v>
      </c>
      <c r="Q34" s="237"/>
      <c r="R34" s="237">
        <f t="shared" si="10"/>
        <v>33079.936000000002</v>
      </c>
      <c r="S34" s="223"/>
      <c r="T34" s="243"/>
      <c r="U34" s="239"/>
      <c r="V34" s="244"/>
    </row>
    <row r="35" spans="1:22" ht="15.5" x14ac:dyDescent="0.35">
      <c r="A35" s="59"/>
      <c r="B35" s="247"/>
      <c r="C35" s="242"/>
      <c r="D35" s="249"/>
      <c r="E35" s="251"/>
      <c r="F35" s="251"/>
      <c r="G35" s="251"/>
      <c r="H35" s="251"/>
      <c r="I35" s="251"/>
      <c r="J35" s="251"/>
      <c r="K35" s="251"/>
      <c r="L35" s="252"/>
      <c r="M35" s="251"/>
      <c r="N35" s="251"/>
      <c r="O35" s="251"/>
      <c r="P35" s="251"/>
      <c r="Q35" s="251"/>
      <c r="R35" s="251"/>
      <c r="S35" s="223"/>
      <c r="T35" s="243"/>
      <c r="U35" s="239"/>
      <c r="V35" s="244"/>
    </row>
    <row r="36" spans="1:22" ht="15.5" x14ac:dyDescent="0.35">
      <c r="A36" s="59"/>
      <c r="B36" s="247"/>
      <c r="C36" s="242"/>
      <c r="D36" s="235">
        <v>5</v>
      </c>
      <c r="E36" s="925">
        <f>35990</f>
        <v>35990</v>
      </c>
      <c r="F36" s="237"/>
      <c r="G36" s="237">
        <f>IF($M36&gt;$U$11,($E36-$U$11)*$W$11,"ERROR")</f>
        <v>3710.82</v>
      </c>
      <c r="H36" s="237"/>
      <c r="I36" s="237">
        <f t="shared" ref="I36" si="11">$E36*$V$13</f>
        <v>8522.4320000000007</v>
      </c>
      <c r="J36" s="237"/>
      <c r="K36" s="921">
        <f t="shared" ref="K36" si="12">E36+ROUND(G36,0)+ROUND(I36,0)</f>
        <v>48223</v>
      </c>
      <c r="L36" s="252"/>
      <c r="M36" s="237">
        <f t="shared" ref="M36" si="13">E36</f>
        <v>35990</v>
      </c>
      <c r="N36" s="237"/>
      <c r="O36" s="237"/>
      <c r="P36" s="237">
        <f>IF($M36&gt;$U$11,($M36-$U$11)*$W$11,"ERROR")</f>
        <v>3710.82</v>
      </c>
      <c r="Q36" s="237"/>
      <c r="R36" s="237">
        <f t="shared" ref="R36" si="14">SUM(M36:P36)</f>
        <v>39700.82</v>
      </c>
      <c r="S36" s="223"/>
      <c r="T36" s="243"/>
      <c r="U36" s="239"/>
      <c r="V36" s="244"/>
    </row>
    <row r="37" spans="1:22" ht="16" thickBot="1" x14ac:dyDescent="0.4">
      <c r="A37" s="59"/>
      <c r="B37" s="776"/>
      <c r="C37" s="777"/>
      <c r="D37" s="778"/>
      <c r="E37" s="779"/>
      <c r="F37" s="779"/>
      <c r="G37" s="779"/>
      <c r="H37" s="779"/>
      <c r="I37" s="779"/>
      <c r="J37" s="779"/>
      <c r="K37" s="779"/>
      <c r="L37" s="780"/>
      <c r="M37" s="781"/>
      <c r="N37" s="779"/>
      <c r="O37" s="779"/>
      <c r="P37" s="779"/>
      <c r="Q37" s="779"/>
      <c r="R37" s="779"/>
      <c r="S37" s="775"/>
      <c r="T37" s="243"/>
      <c r="U37" s="239"/>
    </row>
    <row r="38" spans="1:22" ht="13.5" thickBot="1" x14ac:dyDescent="0.35">
      <c r="B38" s="253"/>
      <c r="C38" s="230"/>
      <c r="D38" s="254"/>
      <c r="E38" s="255"/>
      <c r="F38" s="255"/>
      <c r="G38" s="255"/>
      <c r="H38" s="255"/>
      <c r="I38" s="255"/>
      <c r="J38" s="255"/>
      <c r="K38" s="255"/>
      <c r="L38" s="255"/>
      <c r="M38" s="255"/>
      <c r="N38" s="255"/>
      <c r="O38" s="255"/>
      <c r="P38" s="255"/>
      <c r="Q38" s="255"/>
      <c r="R38" s="255"/>
      <c r="T38" s="243"/>
    </row>
    <row r="39" spans="1:22" ht="13" x14ac:dyDescent="0.3">
      <c r="A39" s="59" t="s">
        <v>655</v>
      </c>
      <c r="B39" s="256" t="s">
        <v>656</v>
      </c>
      <c r="C39" s="257"/>
      <c r="D39" s="258"/>
      <c r="E39" s="259"/>
      <c r="F39" s="259"/>
      <c r="G39" s="260"/>
      <c r="H39" s="255"/>
      <c r="I39" s="255"/>
      <c r="J39" s="255"/>
      <c r="K39" s="255"/>
      <c r="L39" s="255"/>
      <c r="M39" s="255"/>
      <c r="N39" s="255"/>
      <c r="O39" s="255"/>
      <c r="P39" s="255"/>
      <c r="Q39" s="255"/>
      <c r="R39" s="255"/>
      <c r="T39" s="243"/>
    </row>
    <row r="40" spans="1:22" x14ac:dyDescent="0.25">
      <c r="B40" s="195"/>
      <c r="C40" s="261"/>
      <c r="D40" s="262"/>
      <c r="E40" s="263"/>
      <c r="F40" s="263"/>
      <c r="G40" s="264"/>
      <c r="T40" s="243"/>
    </row>
    <row r="41" spans="1:22" x14ac:dyDescent="0.25">
      <c r="B41" s="195" t="s">
        <v>657</v>
      </c>
      <c r="C41" s="261"/>
      <c r="D41" s="262"/>
      <c r="E41" s="263"/>
      <c r="F41" s="263"/>
      <c r="G41" s="264"/>
      <c r="H41" s="101" t="s">
        <v>658</v>
      </c>
      <c r="T41" s="243"/>
    </row>
    <row r="42" spans="1:22" x14ac:dyDescent="0.25">
      <c r="B42" s="195" t="s">
        <v>659</v>
      </c>
      <c r="C42" s="261"/>
      <c r="D42" s="262"/>
      <c r="E42" s="265">
        <v>600</v>
      </c>
      <c r="F42" s="263"/>
      <c r="G42" s="264"/>
      <c r="T42" s="243"/>
    </row>
    <row r="43" spans="1:22" x14ac:dyDescent="0.25">
      <c r="B43" s="195" t="s">
        <v>660</v>
      </c>
      <c r="C43" s="261"/>
      <c r="D43" s="262"/>
      <c r="E43" s="265">
        <v>2975</v>
      </c>
      <c r="F43" s="263"/>
      <c r="G43" s="264"/>
    </row>
    <row r="44" spans="1:22" x14ac:dyDescent="0.25">
      <c r="B44" s="195"/>
      <c r="C44" s="261"/>
      <c r="D44" s="262"/>
      <c r="E44" s="265"/>
      <c r="F44" s="263"/>
      <c r="G44" s="264"/>
    </row>
    <row r="45" spans="1:22" x14ac:dyDescent="0.25">
      <c r="B45" s="195" t="s">
        <v>661</v>
      </c>
      <c r="C45" s="266"/>
      <c r="D45" s="196"/>
      <c r="E45" s="265"/>
      <c r="F45" s="266"/>
      <c r="G45" s="267"/>
      <c r="H45" s="101" t="s">
        <v>662</v>
      </c>
    </row>
    <row r="46" spans="1:22" x14ac:dyDescent="0.25">
      <c r="B46" s="195" t="s">
        <v>659</v>
      </c>
      <c r="C46" s="266"/>
      <c r="D46" s="196"/>
      <c r="E46" s="265">
        <v>3017</v>
      </c>
      <c r="F46" s="266"/>
      <c r="G46" s="264"/>
    </row>
    <row r="47" spans="1:22" x14ac:dyDescent="0.25">
      <c r="B47" s="195" t="s">
        <v>660</v>
      </c>
      <c r="C47" s="266"/>
      <c r="D47" s="196"/>
      <c r="E47" s="265">
        <v>7368</v>
      </c>
      <c r="F47" s="266"/>
      <c r="G47" s="264"/>
    </row>
    <row r="48" spans="1:22" x14ac:dyDescent="0.25">
      <c r="B48" s="195"/>
      <c r="C48" s="266"/>
      <c r="D48" s="196"/>
      <c r="E48" s="265"/>
      <c r="F48" s="266"/>
      <c r="G48" s="264"/>
    </row>
    <row r="49" spans="2:22" x14ac:dyDescent="0.25">
      <c r="B49" s="195" t="s">
        <v>663</v>
      </c>
      <c r="C49" s="266"/>
      <c r="D49" s="196"/>
      <c r="E49" s="265"/>
      <c r="F49" s="266"/>
      <c r="G49" s="264"/>
      <c r="H49" s="101" t="s">
        <v>664</v>
      </c>
    </row>
    <row r="50" spans="2:22" x14ac:dyDescent="0.25">
      <c r="B50" s="268" t="s">
        <v>659</v>
      </c>
      <c r="C50" s="196"/>
      <c r="D50" s="196"/>
      <c r="E50" s="265">
        <v>8706</v>
      </c>
      <c r="F50" s="266"/>
      <c r="G50" s="264"/>
      <c r="V50" s="244"/>
    </row>
    <row r="51" spans="2:22" x14ac:dyDescent="0.25">
      <c r="B51" s="268" t="s">
        <v>660</v>
      </c>
      <c r="C51" s="196"/>
      <c r="D51" s="196"/>
      <c r="E51" s="265">
        <v>14732</v>
      </c>
      <c r="F51" s="266"/>
      <c r="G51" s="264"/>
      <c r="V51" s="244"/>
    </row>
    <row r="52" spans="2:22" x14ac:dyDescent="0.25">
      <c r="B52" s="268"/>
      <c r="C52" s="196"/>
      <c r="D52" s="196"/>
      <c r="E52" s="265"/>
      <c r="F52" s="266"/>
      <c r="G52" s="264"/>
    </row>
    <row r="53" spans="2:22" x14ac:dyDescent="0.25">
      <c r="B53" s="268" t="s">
        <v>665</v>
      </c>
      <c r="C53" s="196"/>
      <c r="D53" s="196"/>
      <c r="E53" s="926">
        <v>2384</v>
      </c>
      <c r="F53" s="266"/>
      <c r="G53" s="264"/>
    </row>
    <row r="54" spans="2:22" ht="13" thickBot="1" x14ac:dyDescent="0.3">
      <c r="B54" s="769" t="s">
        <v>666</v>
      </c>
      <c r="C54" s="782"/>
      <c r="D54" s="782"/>
      <c r="E54" s="783">
        <v>4703</v>
      </c>
      <c r="F54" s="784"/>
      <c r="G54" s="785"/>
      <c r="V54" s="244"/>
    </row>
    <row r="55" spans="2:22" x14ac:dyDescent="0.25">
      <c r="V55" s="244"/>
    </row>
    <row r="57" spans="2:22" ht="13" x14ac:dyDescent="0.3">
      <c r="B57" s="59"/>
      <c r="V57" s="244"/>
    </row>
    <row r="58" spans="2:22" x14ac:dyDescent="0.25">
      <c r="V58" s="244"/>
    </row>
    <row r="59" spans="2:22" x14ac:dyDescent="0.25">
      <c r="B59" s="269"/>
      <c r="C59"/>
      <c r="E59" s="255"/>
      <c r="F59"/>
      <c r="G59"/>
    </row>
    <row r="60" spans="2:22" x14ac:dyDescent="0.25">
      <c r="C60"/>
      <c r="E60" s="255"/>
      <c r="F60"/>
      <c r="G60"/>
    </row>
    <row r="61" spans="2:22" x14ac:dyDescent="0.25">
      <c r="D61" s="146"/>
    </row>
    <row r="62" spans="2:22" x14ac:dyDescent="0.25">
      <c r="D62" s="146"/>
    </row>
    <row r="63" spans="2:22" x14ac:dyDescent="0.25">
      <c r="D63" s="146"/>
    </row>
    <row r="64" spans="2:22" x14ac:dyDescent="0.25">
      <c r="D64" s="146"/>
    </row>
    <row r="65" spans="4:4" x14ac:dyDescent="0.25">
      <c r="D65" s="146"/>
    </row>
    <row r="66" spans="4:4" x14ac:dyDescent="0.25">
      <c r="D66" s="146"/>
    </row>
  </sheetData>
  <mergeCells count="3">
    <mergeCell ref="B3:S4"/>
    <mergeCell ref="B5:S5"/>
    <mergeCell ref="B6:S6"/>
  </mergeCells>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D00A-E5E6-49B7-8526-F944C6A34675}">
  <sheetPr>
    <tabColor rgb="FFFFFF00"/>
  </sheetPr>
  <dimension ref="A1:BG72"/>
  <sheetViews>
    <sheetView topLeftCell="A20" workbookViewId="0">
      <selection activeCell="F40" sqref="F40"/>
    </sheetView>
  </sheetViews>
  <sheetFormatPr defaultColWidth="8.54296875" defaultRowHeight="15.5" x14ac:dyDescent="0.35"/>
  <cols>
    <col min="1" max="1" width="9.453125" style="190" customWidth="1"/>
    <col min="2" max="2" width="4.81640625" style="190" customWidth="1"/>
    <col min="3" max="3" width="16.54296875" style="190" customWidth="1"/>
    <col min="4" max="4" width="8.453125" style="190" customWidth="1"/>
    <col min="5" max="5" width="7.453125" style="190" customWidth="1"/>
    <col min="6" max="6" width="10.453125" style="190" customWidth="1"/>
    <col min="7" max="7" width="3.1796875" style="190" customWidth="1"/>
    <col min="8" max="8" width="8.54296875" style="190" bestFit="1"/>
    <col min="9" max="9" width="3.1796875" style="190" customWidth="1"/>
    <col min="10" max="10" width="9.26953125" style="190" bestFit="1" customWidth="1"/>
    <col min="11" max="11" width="3.1796875" style="190" customWidth="1"/>
    <col min="12" max="12" width="12.7265625" style="190" bestFit="1" customWidth="1"/>
    <col min="13" max="13" width="3.1796875" style="190" customWidth="1"/>
    <col min="14" max="14" width="10.54296875" style="190" customWidth="1"/>
    <col min="15" max="17" width="3.1796875" style="190" customWidth="1"/>
    <col min="18" max="18" width="8.453125" style="190" customWidth="1"/>
    <col min="19" max="19" width="3.1796875" style="190" customWidth="1"/>
    <col min="20" max="20" width="11.453125" style="190" customWidth="1"/>
    <col min="21" max="21" width="3.1796875" style="190" customWidth="1"/>
    <col min="22" max="22" width="20.54296875" style="190" customWidth="1"/>
    <col min="23" max="25" width="9.81640625" style="190" customWidth="1"/>
    <col min="26" max="16384" width="8.54296875" style="190"/>
  </cols>
  <sheetData>
    <row r="1" spans="1:59" s="277" customFormat="1" ht="21.5" thickTop="1" x14ac:dyDescent="0.5">
      <c r="A1" s="270"/>
      <c r="B1" s="271" t="s">
        <v>678</v>
      </c>
      <c r="C1" s="272"/>
      <c r="D1" s="272"/>
      <c r="E1" s="272"/>
      <c r="F1" s="272"/>
      <c r="G1" s="273"/>
      <c r="H1" s="272"/>
      <c r="I1" s="272"/>
      <c r="J1" s="272"/>
      <c r="K1" s="272"/>
      <c r="L1" s="272"/>
      <c r="M1" s="272"/>
      <c r="N1" s="272"/>
      <c r="O1" s="272"/>
      <c r="P1" s="272"/>
      <c r="Q1" s="272"/>
      <c r="R1" s="272"/>
      <c r="S1" s="272"/>
      <c r="T1" s="272"/>
      <c r="U1" s="274"/>
      <c r="V1" s="270"/>
      <c r="W1" s="275"/>
      <c r="X1" s="270"/>
      <c r="Y1" s="270"/>
      <c r="Z1" s="270"/>
      <c r="AA1" s="270"/>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row>
    <row r="2" spans="1:59" s="277" customFormat="1" ht="21.5" thickBot="1" x14ac:dyDescent="0.55000000000000004">
      <c r="A2" s="278" t="s">
        <v>609</v>
      </c>
      <c r="B2" s="279" t="s">
        <v>679</v>
      </c>
      <c r="C2" s="280"/>
      <c r="D2" s="280"/>
      <c r="E2" s="280"/>
      <c r="F2" s="280"/>
      <c r="G2" s="281"/>
      <c r="H2" s="280"/>
      <c r="I2" s="280"/>
      <c r="J2" s="280"/>
      <c r="K2" s="280"/>
      <c r="L2" s="280"/>
      <c r="M2" s="280"/>
      <c r="N2" s="280"/>
      <c r="O2" s="280"/>
      <c r="P2" s="280"/>
      <c r="Q2" s="280"/>
      <c r="R2" s="280"/>
      <c r="S2" s="280"/>
      <c r="T2" s="280"/>
      <c r="U2" s="282"/>
      <c r="V2" s="270"/>
      <c r="W2" s="275"/>
      <c r="X2" s="270"/>
      <c r="Y2" s="270"/>
      <c r="Z2" s="270"/>
      <c r="AA2" s="270"/>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row>
    <row r="3" spans="1:59" s="277" customFormat="1" ht="21.75" customHeight="1" x14ac:dyDescent="0.5">
      <c r="A3" s="278" t="s">
        <v>611</v>
      </c>
      <c r="B3" s="283" t="s">
        <v>680</v>
      </c>
      <c r="C3" s="284"/>
      <c r="D3" s="284"/>
      <c r="E3" s="284"/>
      <c r="F3" s="284"/>
      <c r="G3" s="285"/>
      <c r="H3" s="284"/>
      <c r="I3" s="284"/>
      <c r="J3" s="284"/>
      <c r="K3" s="284"/>
      <c r="L3" s="284"/>
      <c r="M3" s="284"/>
      <c r="N3" s="284"/>
      <c r="O3" s="284"/>
      <c r="P3" s="284"/>
      <c r="Q3" s="284"/>
      <c r="R3" s="284"/>
      <c r="S3" s="284"/>
      <c r="T3" s="284"/>
      <c r="U3" s="286"/>
      <c r="V3" s="270"/>
      <c r="W3" s="275"/>
      <c r="X3" s="270"/>
      <c r="Y3" s="270"/>
      <c r="Z3" s="270"/>
      <c r="AA3" s="270"/>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row>
    <row r="4" spans="1:59" s="277" customFormat="1" ht="21.75" customHeight="1" x14ac:dyDescent="0.5">
      <c r="A4" s="278"/>
      <c r="B4" s="287"/>
      <c r="C4" s="288"/>
      <c r="D4" s="288"/>
      <c r="E4" s="288"/>
      <c r="F4" s="288"/>
      <c r="G4" s="289"/>
      <c r="H4" s="288"/>
      <c r="I4" s="288"/>
      <c r="J4" s="288"/>
      <c r="K4" s="288"/>
      <c r="L4" s="288"/>
      <c r="M4" s="288"/>
      <c r="N4" s="288"/>
      <c r="O4" s="288"/>
      <c r="P4" s="288"/>
      <c r="Q4" s="288"/>
      <c r="R4" s="288"/>
      <c r="S4" s="288"/>
      <c r="T4" s="288"/>
      <c r="U4" s="290"/>
      <c r="V4" s="270"/>
      <c r="W4" s="275"/>
      <c r="X4" s="270"/>
      <c r="Y4" s="270"/>
      <c r="Z4" s="270"/>
      <c r="AA4" s="270"/>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row>
    <row r="5" spans="1:59" s="277" customFormat="1" ht="21.75" customHeight="1" x14ac:dyDescent="0.5">
      <c r="A5" s="278"/>
      <c r="B5" s="291" t="s">
        <v>681</v>
      </c>
      <c r="C5" s="288"/>
      <c r="D5" s="288"/>
      <c r="E5" s="288"/>
      <c r="F5" s="288"/>
      <c r="G5" s="289"/>
      <c r="H5" s="288"/>
      <c r="I5" s="288"/>
      <c r="J5" s="288"/>
      <c r="K5" s="288"/>
      <c r="L5" s="288"/>
      <c r="M5" s="288"/>
      <c r="N5" s="288"/>
      <c r="O5" s="288"/>
      <c r="P5" s="288"/>
      <c r="Q5" s="288"/>
      <c r="R5" s="288"/>
      <c r="S5" s="288"/>
      <c r="T5" s="288"/>
      <c r="U5" s="290"/>
      <c r="V5" s="270" t="s">
        <v>275</v>
      </c>
      <c r="W5" s="275"/>
      <c r="X5" s="270"/>
      <c r="Y5" s="270"/>
      <c r="Z5" s="270"/>
      <c r="AA5" s="270"/>
      <c r="AB5" s="276"/>
      <c r="AC5" s="276"/>
      <c r="AD5" s="276"/>
      <c r="AE5" s="276"/>
      <c r="AF5" s="276"/>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row>
    <row r="6" spans="1:59" s="277" customFormat="1" ht="21.75" customHeight="1" x14ac:dyDescent="0.5">
      <c r="A6" s="278"/>
      <c r="B6" s="291" t="s">
        <v>682</v>
      </c>
      <c r="C6" s="292"/>
      <c r="D6" s="292"/>
      <c r="E6" s="292"/>
      <c r="F6" s="292"/>
      <c r="G6" s="292"/>
      <c r="H6" s="292"/>
      <c r="I6" s="292"/>
      <c r="J6" s="292"/>
      <c r="K6" s="292"/>
      <c r="L6" s="292"/>
      <c r="M6" s="292"/>
      <c r="N6" s="292"/>
      <c r="O6" s="292"/>
      <c r="P6" s="292"/>
      <c r="Q6" s="292"/>
      <c r="R6" s="292"/>
      <c r="S6" s="292"/>
      <c r="T6" s="292"/>
      <c r="U6" s="293"/>
      <c r="V6" s="270"/>
      <c r="W6" s="270"/>
      <c r="X6" s="270"/>
      <c r="Y6" s="270"/>
      <c r="Z6" s="270"/>
      <c r="AA6" s="270"/>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row>
    <row r="7" spans="1:59" s="277" customFormat="1" ht="21.75" customHeight="1" x14ac:dyDescent="0.5">
      <c r="A7" s="278"/>
      <c r="B7" s="291" t="s">
        <v>683</v>
      </c>
      <c r="C7" s="292"/>
      <c r="D7" s="292"/>
      <c r="E7" s="292"/>
      <c r="F7" s="292"/>
      <c r="G7" s="292"/>
      <c r="H7" s="292"/>
      <c r="I7" s="292"/>
      <c r="J7" s="292"/>
      <c r="K7" s="292"/>
      <c r="L7" s="292"/>
      <c r="M7" s="292"/>
      <c r="N7" s="292"/>
      <c r="O7" s="292"/>
      <c r="P7" s="292"/>
      <c r="Q7" s="292"/>
      <c r="R7" s="292"/>
      <c r="S7" s="292"/>
      <c r="T7" s="292"/>
      <c r="U7" s="293"/>
      <c r="V7" s="270"/>
      <c r="W7" s="294"/>
      <c r="X7" s="294"/>
      <c r="Y7" s="294"/>
      <c r="Z7" s="270"/>
      <c r="AA7" s="270"/>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D7" s="276"/>
      <c r="BE7" s="276"/>
      <c r="BF7" s="276"/>
      <c r="BG7" s="276"/>
    </row>
    <row r="8" spans="1:59" s="277" customFormat="1" ht="21.75" customHeight="1" thickBot="1" x14ac:dyDescent="0.55000000000000004">
      <c r="A8" s="278"/>
      <c r="B8" s="786" t="s">
        <v>684</v>
      </c>
      <c r="C8" s="787"/>
      <c r="D8" s="787"/>
      <c r="E8" s="787"/>
      <c r="F8" s="787"/>
      <c r="G8" s="787"/>
      <c r="H8" s="787"/>
      <c r="I8" s="787"/>
      <c r="J8" s="787"/>
      <c r="K8" s="787"/>
      <c r="L8" s="787"/>
      <c r="M8" s="787"/>
      <c r="N8" s="787"/>
      <c r="O8" s="787"/>
      <c r="P8" s="787"/>
      <c r="Q8" s="787"/>
      <c r="R8" s="787"/>
      <c r="S8" s="787"/>
      <c r="T8" s="787"/>
      <c r="U8" s="788"/>
      <c r="V8" s="270"/>
      <c r="W8" s="294"/>
      <c r="X8" s="294"/>
      <c r="Y8" s="294"/>
      <c r="Z8" s="270"/>
      <c r="AA8" s="270"/>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row>
    <row r="9" spans="1:59" s="277" customFormat="1" ht="21.75" customHeight="1" x14ac:dyDescent="0.5">
      <c r="A9" s="278" t="s">
        <v>613</v>
      </c>
      <c r="B9" s="256"/>
      <c r="C9" s="1099" t="s">
        <v>621</v>
      </c>
      <c r="D9" s="1099"/>
      <c r="E9" s="207"/>
      <c r="F9" s="257" t="s">
        <v>685</v>
      </c>
      <c r="G9" s="207"/>
      <c r="H9" s="207"/>
      <c r="I9" s="207"/>
      <c r="J9" s="207"/>
      <c r="K9" s="207"/>
      <c r="L9" s="207"/>
      <c r="M9" s="207"/>
      <c r="N9" s="207"/>
      <c r="O9" s="295" t="s">
        <v>686</v>
      </c>
      <c r="P9" s="296"/>
      <c r="Q9" s="296"/>
      <c r="R9" s="297"/>
      <c r="S9" s="297"/>
      <c r="T9" s="297"/>
      <c r="U9" s="298"/>
      <c r="V9" s="278" t="s">
        <v>617</v>
      </c>
      <c r="W9" s="299" t="s">
        <v>616</v>
      </c>
      <c r="X9" s="300">
        <v>1</v>
      </c>
      <c r="Y9" s="301">
        <v>2</v>
      </c>
      <c r="Z9" s="270"/>
      <c r="AA9" s="270"/>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row>
    <row r="10" spans="1:59" s="306" customFormat="1" x14ac:dyDescent="0.45">
      <c r="A10" s="302"/>
      <c r="B10" s="195"/>
      <c r="C10" s="196">
        <f>$W$10</f>
        <v>0</v>
      </c>
      <c r="D10" s="196">
        <f>W12</f>
        <v>8788</v>
      </c>
      <c r="E10" s="196"/>
      <c r="F10" s="303" t="s">
        <v>687</v>
      </c>
      <c r="G10" s="196"/>
      <c r="H10" s="196"/>
      <c r="I10" s="196"/>
      <c r="J10" s="196"/>
      <c r="K10" s="196"/>
      <c r="L10" s="196"/>
      <c r="M10" s="196"/>
      <c r="N10" s="196"/>
      <c r="O10" s="196"/>
      <c r="P10" s="196"/>
      <c r="Q10" s="196"/>
      <c r="R10" s="196"/>
      <c r="S10" s="196"/>
      <c r="T10" s="196"/>
      <c r="U10" s="197"/>
      <c r="V10" s="304"/>
      <c r="W10" s="195">
        <v>0</v>
      </c>
      <c r="X10" s="196">
        <v>0</v>
      </c>
      <c r="Y10" s="197">
        <v>0</v>
      </c>
      <c r="Z10" s="304"/>
      <c r="AA10" s="304"/>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row>
    <row r="11" spans="1:59" s="306" customFormat="1" x14ac:dyDescent="0.45">
      <c r="A11" s="302"/>
      <c r="B11" s="195"/>
      <c r="C11" s="196">
        <f>W12</f>
        <v>8788</v>
      </c>
      <c r="D11" s="196" t="s">
        <v>688</v>
      </c>
      <c r="E11" s="196"/>
      <c r="F11" s="303" t="s">
        <v>689</v>
      </c>
      <c r="G11" s="196"/>
      <c r="H11" s="307">
        <f>$Y$12*100</f>
        <v>13.8</v>
      </c>
      <c r="I11" s="307" t="s">
        <v>690</v>
      </c>
      <c r="J11" s="196"/>
      <c r="K11" s="196"/>
      <c r="L11" s="307"/>
      <c r="M11" s="308"/>
      <c r="N11" s="196"/>
      <c r="O11" s="196"/>
      <c r="P11" s="196"/>
      <c r="Q11" s="196"/>
      <c r="R11" s="309"/>
      <c r="S11" s="196"/>
      <c r="T11" s="310"/>
      <c r="U11" s="311"/>
      <c r="V11" s="312" t="s">
        <v>619</v>
      </c>
      <c r="W11" s="195">
        <v>6240</v>
      </c>
      <c r="X11" s="213">
        <v>0</v>
      </c>
      <c r="Y11" s="214"/>
      <c r="Z11" s="304"/>
      <c r="AA11" s="304"/>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row>
    <row r="12" spans="1:59" s="306" customFormat="1" ht="16" thickBot="1" x14ac:dyDescent="0.5">
      <c r="A12" s="302"/>
      <c r="B12" s="789"/>
      <c r="C12" s="782"/>
      <c r="D12" s="782"/>
      <c r="E12" s="782"/>
      <c r="F12" s="782"/>
      <c r="G12" s="790"/>
      <c r="H12" s="791"/>
      <c r="I12" s="790"/>
      <c r="J12" s="782"/>
      <c r="K12" s="792"/>
      <c r="L12" s="793"/>
      <c r="M12" s="792"/>
      <c r="N12" s="782"/>
      <c r="O12" s="782"/>
      <c r="P12" s="794"/>
      <c r="Q12" s="782"/>
      <c r="R12" s="795"/>
      <c r="S12" s="782"/>
      <c r="T12" s="782"/>
      <c r="U12" s="771"/>
      <c r="V12" s="312" t="s">
        <v>624</v>
      </c>
      <c r="W12" s="195">
        <v>8788</v>
      </c>
      <c r="X12" s="213">
        <v>0</v>
      </c>
      <c r="Y12" s="214">
        <v>0.13800000000000001</v>
      </c>
      <c r="Z12" s="304"/>
      <c r="AA12" s="304"/>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row>
    <row r="13" spans="1:59" s="306" customFormat="1" ht="17" thickBot="1" x14ac:dyDescent="0.5">
      <c r="A13" s="278"/>
      <c r="B13" s="313"/>
      <c r="C13" s="314"/>
      <c r="D13" s="314"/>
      <c r="E13" s="315"/>
      <c r="F13" s="314"/>
      <c r="G13" s="315"/>
      <c r="H13" s="314"/>
      <c r="I13" s="315"/>
      <c r="J13" s="314"/>
      <c r="K13" s="315"/>
      <c r="L13" s="314"/>
      <c r="M13" s="315"/>
      <c r="N13" s="315"/>
      <c r="O13" s="315"/>
      <c r="P13" s="315"/>
      <c r="Q13" s="315"/>
      <c r="R13" s="315"/>
      <c r="S13" s="315"/>
      <c r="T13" s="315"/>
      <c r="U13" s="315"/>
      <c r="V13" s="312" t="s">
        <v>691</v>
      </c>
      <c r="W13" s="195">
        <v>50000</v>
      </c>
      <c r="X13" s="213">
        <v>0</v>
      </c>
      <c r="Y13" s="197"/>
      <c r="Z13" s="304"/>
      <c r="AA13" s="304"/>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row>
    <row r="14" spans="1:59" s="306" customFormat="1" ht="17.5" thickTop="1" thickBot="1" x14ac:dyDescent="0.5">
      <c r="A14" s="59"/>
      <c r="B14" s="316"/>
      <c r="C14" s="316"/>
      <c r="D14" s="316"/>
      <c r="E14" s="316"/>
      <c r="F14" s="317"/>
      <c r="G14" s="316"/>
      <c r="H14" s="316"/>
      <c r="I14" s="316"/>
      <c r="J14" s="316"/>
      <c r="K14" s="316"/>
      <c r="L14" s="316"/>
      <c r="M14" s="316"/>
      <c r="N14" s="316"/>
      <c r="O14" s="316"/>
      <c r="P14" s="316"/>
      <c r="Q14" s="316"/>
      <c r="R14" s="316"/>
      <c r="S14" s="316"/>
      <c r="T14" s="316"/>
      <c r="U14" s="316"/>
      <c r="V14" s="304"/>
      <c r="W14" s="195"/>
      <c r="X14" s="213"/>
      <c r="Y14" s="214"/>
      <c r="Z14" s="304"/>
      <c r="AA14" s="304"/>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row>
    <row r="15" spans="1:59" s="306" customFormat="1" ht="18.75" customHeight="1" thickTop="1" thickBot="1" x14ac:dyDescent="0.5">
      <c r="A15" s="278" t="s">
        <v>615</v>
      </c>
      <c r="B15" s="1100" t="s">
        <v>692</v>
      </c>
      <c r="C15" s="1101"/>
      <c r="D15" s="1101"/>
      <c r="E15" s="1101"/>
      <c r="F15" s="1101"/>
      <c r="G15" s="1101"/>
      <c r="H15" s="1101"/>
      <c r="I15" s="1101"/>
      <c r="J15" s="1101"/>
      <c r="K15" s="1101"/>
      <c r="L15" s="1101"/>
      <c r="M15" s="1102"/>
      <c r="N15" s="1103" t="s">
        <v>693</v>
      </c>
      <c r="O15" s="1104"/>
      <c r="P15" s="1104"/>
      <c r="Q15" s="1104"/>
      <c r="R15" s="1104"/>
      <c r="S15" s="1104"/>
      <c r="T15" s="1104"/>
      <c r="U15" s="1105"/>
      <c r="V15" s="304"/>
      <c r="W15" s="796" t="s">
        <v>627</v>
      </c>
      <c r="X15" s="809">
        <v>0.26900000000000002</v>
      </c>
      <c r="Y15" s="771"/>
      <c r="Z15" s="304"/>
      <c r="AA15" s="304"/>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row>
    <row r="16" spans="1:59" x14ac:dyDescent="0.35">
      <c r="A16" s="270"/>
      <c r="B16" s="318"/>
      <c r="C16" s="319" t="s">
        <v>694</v>
      </c>
      <c r="D16" s="319" t="s">
        <v>632</v>
      </c>
      <c r="E16" s="319"/>
      <c r="F16" s="320" t="s">
        <v>695</v>
      </c>
      <c r="G16" s="319"/>
      <c r="H16" s="320" t="s">
        <v>634</v>
      </c>
      <c r="I16" s="319"/>
      <c r="J16" s="320" t="s">
        <v>627</v>
      </c>
      <c r="K16" s="319"/>
      <c r="L16" s="320" t="s">
        <v>696</v>
      </c>
      <c r="M16" s="321"/>
      <c r="N16" s="322" t="s">
        <v>695</v>
      </c>
      <c r="O16" s="319"/>
      <c r="P16" s="319"/>
      <c r="Q16" s="319"/>
      <c r="R16" s="320" t="s">
        <v>634</v>
      </c>
      <c r="S16" s="319"/>
      <c r="T16" s="323" t="s">
        <v>696</v>
      </c>
      <c r="U16" s="324"/>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row>
    <row r="17" spans="1:59" ht="16" customHeight="1" thickBot="1" x14ac:dyDescent="0.4">
      <c r="A17" s="270"/>
      <c r="B17" s="797"/>
      <c r="C17" s="798"/>
      <c r="D17" s="798"/>
      <c r="E17" s="798"/>
      <c r="F17" s="798"/>
      <c r="G17" s="798"/>
      <c r="H17" s="798"/>
      <c r="I17" s="798"/>
      <c r="J17" s="798"/>
      <c r="K17" s="798"/>
      <c r="L17" s="798"/>
      <c r="M17" s="798"/>
      <c r="N17" s="799"/>
      <c r="O17" s="798"/>
      <c r="P17" s="798"/>
      <c r="Q17" s="798"/>
      <c r="R17" s="798"/>
      <c r="S17" s="798"/>
      <c r="T17" s="798"/>
      <c r="U17" s="800"/>
      <c r="V17" s="270"/>
      <c r="W17" s="270"/>
      <c r="X17" s="325"/>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row>
    <row r="18" spans="1:59" ht="16" customHeight="1" x14ac:dyDescent="0.35">
      <c r="A18" s="270"/>
      <c r="B18" s="216"/>
      <c r="C18" s="326" t="s">
        <v>697</v>
      </c>
      <c r="D18" s="327"/>
      <c r="E18" s="328"/>
      <c r="F18" s="329"/>
      <c r="G18" s="329"/>
      <c r="H18" s="329"/>
      <c r="I18" s="329"/>
      <c r="J18" s="329"/>
      <c r="K18" s="329"/>
      <c r="L18" s="329"/>
      <c r="M18" s="329"/>
      <c r="N18" s="330"/>
      <c r="O18" s="329"/>
      <c r="P18" s="329"/>
      <c r="Q18" s="329"/>
      <c r="R18" s="329"/>
      <c r="S18" s="329"/>
      <c r="T18" s="329"/>
      <c r="U18" s="223"/>
      <c r="V18" s="270"/>
      <c r="W18" s="270"/>
      <c r="X18" s="325"/>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row>
    <row r="19" spans="1:59" ht="16" customHeight="1" x14ac:dyDescent="0.35">
      <c r="A19" s="270"/>
      <c r="B19" s="216"/>
      <c r="C19" s="331" t="s">
        <v>698</v>
      </c>
      <c r="D19" s="327"/>
      <c r="E19" s="328"/>
      <c r="F19" s="329"/>
      <c r="G19" s="329"/>
      <c r="H19" s="329"/>
      <c r="I19" s="329"/>
      <c r="J19" s="329"/>
      <c r="K19" s="329"/>
      <c r="L19" s="329"/>
      <c r="M19" s="329"/>
      <c r="N19" s="330"/>
      <c r="O19" s="329"/>
      <c r="P19" s="329"/>
      <c r="Q19" s="329"/>
      <c r="R19" s="329"/>
      <c r="S19" s="329"/>
      <c r="T19" s="329"/>
      <c r="U19" s="223"/>
      <c r="V19" s="270"/>
      <c r="W19" s="332" t="s">
        <v>699</v>
      </c>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row>
    <row r="20" spans="1:59" ht="16" customHeight="1" x14ac:dyDescent="0.35">
      <c r="A20" s="270"/>
      <c r="B20" s="241"/>
      <c r="C20" s="331" t="s">
        <v>700</v>
      </c>
      <c r="D20" s="331">
        <v>6</v>
      </c>
      <c r="E20" s="328"/>
      <c r="F20" s="329">
        <f>SUM([18]Sheet2!E21*195/229)</f>
        <v>15693.895906113539</v>
      </c>
      <c r="G20" s="329"/>
      <c r="H20" s="329">
        <f t="shared" ref="H20:H38" si="0">IF($F20&gt;$W$12,($F20-$W$12)*$Y$12,"ERROR")</f>
        <v>953.0136350436685</v>
      </c>
      <c r="I20" s="329"/>
      <c r="J20" s="329">
        <f t="shared" ref="J20:J41" si="1">$F20*$X$15</f>
        <v>4221.6579987445421</v>
      </c>
      <c r="K20" s="329"/>
      <c r="L20" s="329">
        <f t="shared" ref="L20:L39" si="2">F20+ROUND(H20,0)+ROUND(J20,0)</f>
        <v>20868.895906113539</v>
      </c>
      <c r="M20" s="329"/>
      <c r="N20" s="330">
        <f t="shared" ref="N20:N39" si="3">F20</f>
        <v>15693.895906113539</v>
      </c>
      <c r="O20" s="329"/>
      <c r="P20" s="329"/>
      <c r="Q20" s="329"/>
      <c r="R20" s="329">
        <f t="shared" ref="R20:R39" si="4">IF($N20&gt;$W$12,($N20-$W$12)*$Y$12,"ERROR")</f>
        <v>953.0136350436685</v>
      </c>
      <c r="S20" s="329"/>
      <c r="T20" s="329">
        <f t="shared" ref="T20:T39" si="5">SUM(N20:R20)</f>
        <v>16646.909541157209</v>
      </c>
      <c r="U20" s="223"/>
      <c r="V20" s="333"/>
      <c r="W20" s="332" t="s">
        <v>638</v>
      </c>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row>
    <row r="21" spans="1:59" ht="16" customHeight="1" x14ac:dyDescent="0.35">
      <c r="A21" s="270"/>
      <c r="B21" s="241"/>
      <c r="C21" s="331" t="s">
        <v>697</v>
      </c>
      <c r="D21" s="331">
        <v>7</v>
      </c>
      <c r="E21" s="328"/>
      <c r="F21" s="329">
        <f>SUM([18]Sheet2!E22*195/229)</f>
        <v>15805.888919213976</v>
      </c>
      <c r="G21" s="329"/>
      <c r="H21" s="329">
        <f t="shared" si="0"/>
        <v>968.46867085152871</v>
      </c>
      <c r="I21" s="329"/>
      <c r="J21" s="329">
        <f t="shared" si="1"/>
        <v>4251.7841192685601</v>
      </c>
      <c r="K21" s="329"/>
      <c r="L21" s="329">
        <f t="shared" si="2"/>
        <v>21025.888919213976</v>
      </c>
      <c r="M21" s="329"/>
      <c r="N21" s="330">
        <f t="shared" si="3"/>
        <v>15805.888919213976</v>
      </c>
      <c r="O21" s="329"/>
      <c r="P21" s="329"/>
      <c r="Q21" s="329"/>
      <c r="R21" s="329">
        <f t="shared" si="4"/>
        <v>968.46867085152871</v>
      </c>
      <c r="S21" s="329"/>
      <c r="T21" s="329">
        <f t="shared" si="5"/>
        <v>16774.357590065505</v>
      </c>
      <c r="U21" s="223"/>
      <c r="V21" s="333"/>
      <c r="W21" s="332"/>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row>
    <row r="22" spans="1:59" ht="16" customHeight="1" x14ac:dyDescent="0.35">
      <c r="A22" s="270"/>
      <c r="B22" s="241"/>
      <c r="C22" s="331" t="s">
        <v>697</v>
      </c>
      <c r="D22" s="331">
        <v>8</v>
      </c>
      <c r="E22" s="328"/>
      <c r="F22" s="329">
        <f>SUM([18]Sheet2!E23*195/229)</f>
        <v>16115.619596069871</v>
      </c>
      <c r="G22" s="329"/>
      <c r="H22" s="329">
        <f t="shared" si="0"/>
        <v>1011.2115042576423</v>
      </c>
      <c r="I22" s="329"/>
      <c r="J22" s="329">
        <f t="shared" si="1"/>
        <v>4335.1016713427953</v>
      </c>
      <c r="K22" s="329"/>
      <c r="L22" s="329">
        <f t="shared" si="2"/>
        <v>21461.619596069871</v>
      </c>
      <c r="M22" s="329"/>
      <c r="N22" s="330">
        <f t="shared" si="3"/>
        <v>16115.619596069871</v>
      </c>
      <c r="O22" s="329"/>
      <c r="P22" s="329"/>
      <c r="Q22" s="329"/>
      <c r="R22" s="329">
        <f t="shared" si="4"/>
        <v>1011.2115042576423</v>
      </c>
      <c r="S22" s="329"/>
      <c r="T22" s="329">
        <f t="shared" si="5"/>
        <v>17126.831100327512</v>
      </c>
      <c r="U22" s="223"/>
      <c r="V22" s="333"/>
      <c r="W22" s="332" t="s">
        <v>639</v>
      </c>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row>
    <row r="23" spans="1:59" ht="16" customHeight="1" x14ac:dyDescent="0.35">
      <c r="A23" s="270"/>
      <c r="B23" s="241"/>
      <c r="C23" s="334" t="s">
        <v>697</v>
      </c>
      <c r="D23" s="334">
        <v>9</v>
      </c>
      <c r="E23" s="335"/>
      <c r="F23" s="336">
        <f>SUM([18]Sheet2!E24*195/229)</f>
        <v>16462.972925764192</v>
      </c>
      <c r="G23" s="336"/>
      <c r="H23" s="336">
        <f t="shared" si="0"/>
        <v>1059.1462637554587</v>
      </c>
      <c r="I23" s="336"/>
      <c r="J23" s="336">
        <f t="shared" si="1"/>
        <v>4428.5397170305678</v>
      </c>
      <c r="K23" s="336"/>
      <c r="L23" s="336">
        <f t="shared" si="2"/>
        <v>21950.972925764192</v>
      </c>
      <c r="M23" s="336"/>
      <c r="N23" s="337">
        <f t="shared" si="3"/>
        <v>16462.972925764192</v>
      </c>
      <c r="O23" s="336"/>
      <c r="P23" s="336"/>
      <c r="Q23" s="336"/>
      <c r="R23" s="336">
        <f t="shared" si="4"/>
        <v>1059.1462637554587</v>
      </c>
      <c r="S23" s="336"/>
      <c r="T23" s="336">
        <f t="shared" si="5"/>
        <v>17522.11918951965</v>
      </c>
      <c r="U23" s="223"/>
      <c r="V23" s="270"/>
      <c r="W23" s="332" t="s">
        <v>640</v>
      </c>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row>
    <row r="24" spans="1:59" ht="16" customHeight="1" x14ac:dyDescent="0.35">
      <c r="A24" s="270"/>
      <c r="B24" s="241"/>
      <c r="C24" s="331" t="s">
        <v>701</v>
      </c>
      <c r="D24" s="331">
        <v>12</v>
      </c>
      <c r="E24" s="328"/>
      <c r="F24" s="329">
        <f>SUM([18]Sheet2!E27*195/229)</f>
        <v>17381.665611353714</v>
      </c>
      <c r="G24" s="329"/>
      <c r="H24" s="329">
        <f t="shared" si="0"/>
        <v>1185.9258543668127</v>
      </c>
      <c r="I24" s="329"/>
      <c r="J24" s="329">
        <f t="shared" si="1"/>
        <v>4675.6680494541497</v>
      </c>
      <c r="K24" s="329"/>
      <c r="L24" s="329">
        <f t="shared" si="2"/>
        <v>23243.665611353714</v>
      </c>
      <c r="M24" s="329"/>
      <c r="N24" s="330">
        <f t="shared" si="3"/>
        <v>17381.665611353714</v>
      </c>
      <c r="O24" s="329"/>
      <c r="P24" s="329"/>
      <c r="Q24" s="329"/>
      <c r="R24" s="329">
        <f t="shared" si="4"/>
        <v>1185.9258543668127</v>
      </c>
      <c r="S24" s="329"/>
      <c r="T24" s="329">
        <f t="shared" si="5"/>
        <v>18567.591465720525</v>
      </c>
      <c r="U24" s="223"/>
      <c r="V24" s="333"/>
      <c r="W24" s="332"/>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row>
    <row r="25" spans="1:59" ht="16" customHeight="1" x14ac:dyDescent="0.35">
      <c r="A25" s="270"/>
      <c r="B25" s="241"/>
      <c r="C25" s="331" t="s">
        <v>702</v>
      </c>
      <c r="D25" s="331">
        <v>13</v>
      </c>
      <c r="E25" s="328"/>
      <c r="F25" s="329">
        <f>SUM([18]Sheet2!E28*195/229)</f>
        <v>17799.889519650656</v>
      </c>
      <c r="G25" s="329"/>
      <c r="H25" s="329">
        <f t="shared" si="0"/>
        <v>1243.6407537117907</v>
      </c>
      <c r="I25" s="329"/>
      <c r="J25" s="329">
        <f t="shared" si="1"/>
        <v>4788.1702807860265</v>
      </c>
      <c r="K25" s="329"/>
      <c r="L25" s="329">
        <f t="shared" si="2"/>
        <v>23831.889519650656</v>
      </c>
      <c r="M25" s="329"/>
      <c r="N25" s="330">
        <f t="shared" si="3"/>
        <v>17799.889519650656</v>
      </c>
      <c r="O25" s="329"/>
      <c r="P25" s="329"/>
      <c r="Q25" s="329"/>
      <c r="R25" s="329">
        <f t="shared" si="4"/>
        <v>1243.6407537117907</v>
      </c>
      <c r="S25" s="329"/>
      <c r="T25" s="329">
        <f t="shared" si="5"/>
        <v>19043.530273362448</v>
      </c>
      <c r="U25" s="223"/>
      <c r="V25" s="333"/>
      <c r="W25" s="332" t="s">
        <v>644</v>
      </c>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row>
    <row r="26" spans="1:59" ht="16" customHeight="1" x14ac:dyDescent="0.35">
      <c r="A26" s="270"/>
      <c r="B26" s="241"/>
      <c r="C26" s="331" t="s">
        <v>697</v>
      </c>
      <c r="D26" s="331">
        <v>14</v>
      </c>
      <c r="E26" s="328"/>
      <c r="F26" s="329">
        <f>SUM([18]Sheet2!E29*195/229)</f>
        <v>18504.220578602624</v>
      </c>
      <c r="G26" s="329"/>
      <c r="H26" s="329">
        <f t="shared" si="0"/>
        <v>1340.8384398471624</v>
      </c>
      <c r="I26" s="329"/>
      <c r="J26" s="329">
        <f t="shared" si="1"/>
        <v>4977.6353356441059</v>
      </c>
      <c r="K26" s="329"/>
      <c r="L26" s="329">
        <f t="shared" si="2"/>
        <v>24823.220578602624</v>
      </c>
      <c r="M26" s="338"/>
      <c r="N26" s="329">
        <f t="shared" si="3"/>
        <v>18504.220578602624</v>
      </c>
      <c r="O26" s="329"/>
      <c r="P26" s="329"/>
      <c r="Q26" s="329"/>
      <c r="R26" s="329">
        <f t="shared" si="4"/>
        <v>1340.8384398471624</v>
      </c>
      <c r="S26" s="329"/>
      <c r="T26" s="329">
        <f t="shared" si="5"/>
        <v>19845.059018449785</v>
      </c>
      <c r="U26" s="223"/>
      <c r="V26" s="333"/>
      <c r="W26" s="332" t="s">
        <v>646</v>
      </c>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row>
    <row r="27" spans="1:59" ht="16" customHeight="1" x14ac:dyDescent="0.35">
      <c r="A27" s="270"/>
      <c r="B27" s="241"/>
      <c r="C27" s="334" t="s">
        <v>697</v>
      </c>
      <c r="D27" s="334">
        <v>15</v>
      </c>
      <c r="E27" s="335"/>
      <c r="F27" s="336">
        <f>SUM([18]Sheet2!E30*195/229)</f>
        <v>19276.797379912667</v>
      </c>
      <c r="G27" s="336"/>
      <c r="H27" s="336">
        <f t="shared" si="0"/>
        <v>1447.454038427948</v>
      </c>
      <c r="I27" s="336"/>
      <c r="J27" s="336">
        <f t="shared" si="1"/>
        <v>5185.458495196508</v>
      </c>
      <c r="K27" s="336"/>
      <c r="L27" s="336">
        <f t="shared" si="2"/>
        <v>25908.797379912667</v>
      </c>
      <c r="M27" s="336"/>
      <c r="N27" s="337">
        <f t="shared" si="3"/>
        <v>19276.797379912667</v>
      </c>
      <c r="O27" s="336"/>
      <c r="P27" s="336"/>
      <c r="Q27" s="336"/>
      <c r="R27" s="336">
        <f t="shared" si="4"/>
        <v>1447.454038427948</v>
      </c>
      <c r="S27" s="336"/>
      <c r="T27" s="336">
        <f t="shared" si="5"/>
        <v>20724.251418340617</v>
      </c>
      <c r="U27" s="223"/>
      <c r="V27" s="333"/>
      <c r="W27" s="332"/>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row>
    <row r="28" spans="1:59" ht="16" customHeight="1" x14ac:dyDescent="0.35">
      <c r="A28" s="270"/>
      <c r="B28" s="241"/>
      <c r="C28" s="331" t="s">
        <v>703</v>
      </c>
      <c r="D28" s="331">
        <v>15</v>
      </c>
      <c r="E28" s="328"/>
      <c r="F28" s="329">
        <f>SUM([18]Sheet2!E30*195/229)</f>
        <v>19276.797379912667</v>
      </c>
      <c r="G28" s="329"/>
      <c r="H28" s="329">
        <f t="shared" si="0"/>
        <v>1447.454038427948</v>
      </c>
      <c r="I28" s="329"/>
      <c r="J28" s="329">
        <f t="shared" si="1"/>
        <v>5185.458495196508</v>
      </c>
      <c r="K28" s="329"/>
      <c r="L28" s="329">
        <f t="shared" si="2"/>
        <v>25908.797379912667</v>
      </c>
      <c r="M28" s="329"/>
      <c r="N28" s="330">
        <f t="shared" si="3"/>
        <v>19276.797379912667</v>
      </c>
      <c r="O28" s="329"/>
      <c r="P28" s="329"/>
      <c r="Q28" s="329"/>
      <c r="R28" s="329">
        <f t="shared" si="4"/>
        <v>1447.454038427948</v>
      </c>
      <c r="S28" s="329"/>
      <c r="T28" s="329">
        <f t="shared" si="5"/>
        <v>20724.251418340617</v>
      </c>
      <c r="U28" s="223"/>
      <c r="V28" s="333"/>
      <c r="W28" s="332" t="s">
        <v>647</v>
      </c>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row>
    <row r="29" spans="1:59" ht="16" customHeight="1" x14ac:dyDescent="0.35">
      <c r="A29" s="270"/>
      <c r="B29" s="241"/>
      <c r="C29" s="331" t="s">
        <v>704</v>
      </c>
      <c r="D29" s="331">
        <v>16</v>
      </c>
      <c r="E29" s="328"/>
      <c r="F29" s="329">
        <f>SUM([18]Sheet2!E31*195/229)</f>
        <v>20045.874399563323</v>
      </c>
      <c r="G29" s="329"/>
      <c r="H29" s="329">
        <f t="shared" si="0"/>
        <v>1553.5866671397387</v>
      </c>
      <c r="I29" s="329"/>
      <c r="J29" s="329">
        <f t="shared" si="1"/>
        <v>5392.3402134825346</v>
      </c>
      <c r="K29" s="329"/>
      <c r="L29" s="329">
        <f t="shared" si="2"/>
        <v>26991.874399563323</v>
      </c>
      <c r="M29" s="329"/>
      <c r="N29" s="330">
        <f t="shared" si="3"/>
        <v>20045.874399563323</v>
      </c>
      <c r="O29" s="329"/>
      <c r="P29" s="329"/>
      <c r="Q29" s="329"/>
      <c r="R29" s="329">
        <f t="shared" si="4"/>
        <v>1553.5866671397387</v>
      </c>
      <c r="S29" s="329"/>
      <c r="T29" s="329">
        <f t="shared" si="5"/>
        <v>21599.461066703061</v>
      </c>
      <c r="U29" s="223"/>
      <c r="V29" s="333"/>
      <c r="W29" s="332" t="s">
        <v>649</v>
      </c>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row>
    <row r="30" spans="1:59" ht="16" customHeight="1" x14ac:dyDescent="0.35">
      <c r="A30" s="270"/>
      <c r="B30" s="241"/>
      <c r="C30" s="331" t="s">
        <v>705</v>
      </c>
      <c r="D30" s="331">
        <v>17</v>
      </c>
      <c r="E30" s="328"/>
      <c r="F30" s="329">
        <f>SUM([18]Sheet2!E32*195/229)</f>
        <v>20720.457314410483</v>
      </c>
      <c r="G30" s="329"/>
      <c r="H30" s="329">
        <f t="shared" si="0"/>
        <v>1646.6791093886468</v>
      </c>
      <c r="I30" s="329"/>
      <c r="J30" s="329">
        <f t="shared" si="1"/>
        <v>5573.8030175764206</v>
      </c>
      <c r="K30" s="329"/>
      <c r="L30" s="329">
        <f t="shared" si="2"/>
        <v>27941.457314410483</v>
      </c>
      <c r="M30" s="329"/>
      <c r="N30" s="330">
        <f t="shared" si="3"/>
        <v>20720.457314410483</v>
      </c>
      <c r="O30" s="329"/>
      <c r="P30" s="329"/>
      <c r="Q30" s="329"/>
      <c r="R30" s="329">
        <f t="shared" si="4"/>
        <v>1646.6791093886468</v>
      </c>
      <c r="S30" s="329"/>
      <c r="T30" s="329">
        <f t="shared" si="5"/>
        <v>22367.136423799129</v>
      </c>
      <c r="U30" s="223"/>
      <c r="V30" s="333"/>
      <c r="W30" s="332" t="s">
        <v>650</v>
      </c>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row>
    <row r="31" spans="1:59" ht="16" customHeight="1" x14ac:dyDescent="0.35">
      <c r="A31" s="270"/>
      <c r="B31" s="241"/>
      <c r="C31" s="334" t="s">
        <v>697</v>
      </c>
      <c r="D31" s="334">
        <v>18</v>
      </c>
      <c r="E31" s="335"/>
      <c r="F31" s="336">
        <f>SUM([18]Sheet2!E33*195/229)</f>
        <v>21393.290338427945</v>
      </c>
      <c r="G31" s="336"/>
      <c r="H31" s="336">
        <f t="shared" si="0"/>
        <v>1739.5300667030565</v>
      </c>
      <c r="I31" s="336"/>
      <c r="J31" s="336">
        <f t="shared" si="1"/>
        <v>5754.795101037118</v>
      </c>
      <c r="K31" s="336"/>
      <c r="L31" s="336">
        <f t="shared" si="2"/>
        <v>28888.290338427945</v>
      </c>
      <c r="M31" s="336"/>
      <c r="N31" s="337">
        <f t="shared" si="3"/>
        <v>21393.290338427945</v>
      </c>
      <c r="O31" s="336"/>
      <c r="P31" s="336"/>
      <c r="Q31" s="336"/>
      <c r="R31" s="336">
        <f t="shared" si="4"/>
        <v>1739.5300667030565</v>
      </c>
      <c r="S31" s="336"/>
      <c r="T31" s="336">
        <f t="shared" si="5"/>
        <v>23132.820405131002</v>
      </c>
      <c r="U31" s="223"/>
      <c r="V31" s="333"/>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row>
    <row r="32" spans="1:59" ht="16" customHeight="1" x14ac:dyDescent="0.35">
      <c r="A32" s="270"/>
      <c r="B32" s="241"/>
      <c r="C32" s="331" t="s">
        <v>706</v>
      </c>
      <c r="D32" s="331">
        <v>18</v>
      </c>
      <c r="E32" s="328"/>
      <c r="F32" s="329">
        <f>SUM([18]Sheet2!E33*195/229)</f>
        <v>21393.290338427945</v>
      </c>
      <c r="G32" s="329"/>
      <c r="H32" s="329">
        <f t="shared" si="0"/>
        <v>1739.5300667030565</v>
      </c>
      <c r="I32" s="329"/>
      <c r="J32" s="329">
        <f t="shared" si="1"/>
        <v>5754.795101037118</v>
      </c>
      <c r="K32" s="329"/>
      <c r="L32" s="329">
        <f>F32+ROUND(H32,0)+ROUND(J32,0)</f>
        <v>28888.290338427945</v>
      </c>
      <c r="M32" s="329"/>
      <c r="N32" s="330">
        <f>F32</f>
        <v>21393.290338427945</v>
      </c>
      <c r="O32" s="329"/>
      <c r="P32" s="329"/>
      <c r="Q32" s="329"/>
      <c r="R32" s="329">
        <f t="shared" si="4"/>
        <v>1739.5300667030565</v>
      </c>
      <c r="S32" s="329"/>
      <c r="T32" s="329">
        <f>SUM(N32:R32)</f>
        <v>23132.820405131002</v>
      </c>
      <c r="U32" s="223"/>
      <c r="V32" s="333"/>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270"/>
      <c r="BE32" s="270"/>
      <c r="BF32" s="270"/>
      <c r="BG32" s="270"/>
    </row>
    <row r="33" spans="1:59" ht="16" customHeight="1" x14ac:dyDescent="0.35">
      <c r="A33" s="270"/>
      <c r="B33" s="241"/>
      <c r="C33" s="331" t="s">
        <v>707</v>
      </c>
      <c r="D33" s="331">
        <v>19</v>
      </c>
      <c r="E33" s="328"/>
      <c r="F33" s="329">
        <f>SUM([18]Sheet2!E34*195/229)</f>
        <v>22131.744268558956</v>
      </c>
      <c r="G33" s="329"/>
      <c r="H33" s="329">
        <f t="shared" si="0"/>
        <v>1841.4367090611361</v>
      </c>
      <c r="I33" s="329"/>
      <c r="J33" s="329">
        <f t="shared" si="1"/>
        <v>5953.4392082423592</v>
      </c>
      <c r="K33" s="329"/>
      <c r="L33" s="329">
        <f>F33+ROUND(H33,0)+ROUND(J33,0)</f>
        <v>29925.744268558956</v>
      </c>
      <c r="M33" s="329"/>
      <c r="N33" s="330">
        <f>F33</f>
        <v>22131.744268558956</v>
      </c>
      <c r="O33" s="329"/>
      <c r="P33" s="329"/>
      <c r="Q33" s="329"/>
      <c r="R33" s="329">
        <f t="shared" si="4"/>
        <v>1841.4367090611361</v>
      </c>
      <c r="S33" s="329"/>
      <c r="T33" s="329">
        <f>SUM(N33:R33)</f>
        <v>23973.180977620093</v>
      </c>
      <c r="U33" s="223"/>
      <c r="V33" s="333"/>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row>
    <row r="34" spans="1:59" ht="16" customHeight="1" x14ac:dyDescent="0.35">
      <c r="A34" s="270"/>
      <c r="B34" s="241"/>
      <c r="C34" s="331" t="s">
        <v>708</v>
      </c>
      <c r="D34" s="331">
        <v>20</v>
      </c>
      <c r="E34" s="328"/>
      <c r="F34" s="329">
        <f>SUM([18]Sheet2!E35*195/229)</f>
        <v>22808.077074235811</v>
      </c>
      <c r="G34" s="329"/>
      <c r="H34" s="329">
        <f t="shared" si="0"/>
        <v>1934.7706362445422</v>
      </c>
      <c r="I34" s="329"/>
      <c r="J34" s="329">
        <f t="shared" si="1"/>
        <v>6135.3727329694339</v>
      </c>
      <c r="K34" s="329"/>
      <c r="L34" s="329">
        <f>F34+ROUND(H34,0)+ROUND(J34,0)</f>
        <v>30878.077074235811</v>
      </c>
      <c r="M34" s="329"/>
      <c r="N34" s="330">
        <f>F34</f>
        <v>22808.077074235811</v>
      </c>
      <c r="O34" s="329"/>
      <c r="P34" s="329"/>
      <c r="Q34" s="329"/>
      <c r="R34" s="329">
        <f t="shared" si="4"/>
        <v>1934.7706362445422</v>
      </c>
      <c r="S34" s="329"/>
      <c r="T34" s="329">
        <f>SUM(N34:R34)</f>
        <v>24742.847710480353</v>
      </c>
      <c r="U34" s="223"/>
      <c r="V34" s="333"/>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row>
    <row r="35" spans="1:59" ht="16" customHeight="1" x14ac:dyDescent="0.35">
      <c r="A35" s="270"/>
      <c r="B35" s="241"/>
      <c r="C35" s="334" t="s">
        <v>697</v>
      </c>
      <c r="D35" s="334">
        <v>21</v>
      </c>
      <c r="E35" s="335"/>
      <c r="F35" s="336">
        <f>SUM([18]Sheet2!E36*195/229)</f>
        <v>23612.151910480352</v>
      </c>
      <c r="G35" s="336"/>
      <c r="H35" s="336">
        <f t="shared" si="0"/>
        <v>2045.7329636462887</v>
      </c>
      <c r="I35" s="336"/>
      <c r="J35" s="336">
        <f t="shared" si="1"/>
        <v>6351.6688639192153</v>
      </c>
      <c r="K35" s="336"/>
      <c r="L35" s="336">
        <f>F35+ROUND(H35,0)+ROUND(J35,0)</f>
        <v>32010.151910480352</v>
      </c>
      <c r="M35" s="336"/>
      <c r="N35" s="337">
        <f>F35</f>
        <v>23612.151910480352</v>
      </c>
      <c r="O35" s="336"/>
      <c r="P35" s="336"/>
      <c r="Q35" s="336"/>
      <c r="R35" s="336">
        <f t="shared" si="4"/>
        <v>2045.7329636462887</v>
      </c>
      <c r="S35" s="336"/>
      <c r="T35" s="336">
        <f>SUM(N35:R35)</f>
        <v>25657.884874126641</v>
      </c>
      <c r="U35" s="223"/>
      <c r="V35" s="333"/>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row>
    <row r="36" spans="1:59" ht="16" customHeight="1" x14ac:dyDescent="0.35">
      <c r="A36" s="270"/>
      <c r="B36" s="241"/>
      <c r="C36" s="331" t="s">
        <v>709</v>
      </c>
      <c r="D36" s="331">
        <v>21</v>
      </c>
      <c r="E36" s="328"/>
      <c r="F36" s="329">
        <f>SUM([18]Sheet2!E36*195/226)</f>
        <v>23925.587555309736</v>
      </c>
      <c r="G36" s="329"/>
      <c r="H36" s="329">
        <f t="shared" si="0"/>
        <v>2088.9870826327437</v>
      </c>
      <c r="I36" s="329"/>
      <c r="J36" s="329">
        <f t="shared" si="1"/>
        <v>6435.9830523783194</v>
      </c>
      <c r="K36" s="329"/>
      <c r="L36" s="329">
        <f t="shared" si="2"/>
        <v>32450.587555309736</v>
      </c>
      <c r="M36" s="329"/>
      <c r="N36" s="330">
        <f t="shared" si="3"/>
        <v>23925.587555309736</v>
      </c>
      <c r="O36" s="329"/>
      <c r="P36" s="329"/>
      <c r="Q36" s="329"/>
      <c r="R36" s="329">
        <f t="shared" si="4"/>
        <v>2088.9870826327437</v>
      </c>
      <c r="S36" s="329"/>
      <c r="T36" s="329">
        <f t="shared" si="5"/>
        <v>26014.574637942478</v>
      </c>
      <c r="U36" s="223"/>
      <c r="V36" s="333"/>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row>
    <row r="37" spans="1:59" ht="16" customHeight="1" x14ac:dyDescent="0.35">
      <c r="A37" s="270"/>
      <c r="B37" s="241"/>
      <c r="C37" s="331" t="s">
        <v>710</v>
      </c>
      <c r="D37" s="331">
        <v>22</v>
      </c>
      <c r="E37" s="328"/>
      <c r="F37" s="329">
        <f>SUM([18]Sheet2!E37*195/226)</f>
        <v>24739.44939159292</v>
      </c>
      <c r="G37" s="329"/>
      <c r="H37" s="329">
        <f t="shared" si="0"/>
        <v>2201.3000160398233</v>
      </c>
      <c r="I37" s="329"/>
      <c r="J37" s="329">
        <f t="shared" si="1"/>
        <v>6654.9118863384956</v>
      </c>
      <c r="K37" s="329"/>
      <c r="L37" s="329">
        <f t="shared" si="2"/>
        <v>33595.44939159292</v>
      </c>
      <c r="M37" s="329"/>
      <c r="N37" s="330">
        <f t="shared" si="3"/>
        <v>24739.44939159292</v>
      </c>
      <c r="O37" s="329"/>
      <c r="P37" s="329"/>
      <c r="Q37" s="329"/>
      <c r="R37" s="329">
        <f t="shared" si="4"/>
        <v>2201.3000160398233</v>
      </c>
      <c r="S37" s="329"/>
      <c r="T37" s="329">
        <f t="shared" si="5"/>
        <v>26940.749407632742</v>
      </c>
      <c r="U37" s="223"/>
      <c r="V37" s="333"/>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row>
    <row r="38" spans="1:59" ht="16" customHeight="1" x14ac:dyDescent="0.35">
      <c r="A38" s="270"/>
      <c r="B38" s="241"/>
      <c r="C38" s="331" t="s">
        <v>711</v>
      </c>
      <c r="D38" s="331">
        <v>23</v>
      </c>
      <c r="E38" s="328"/>
      <c r="F38" s="329">
        <f>SUM([18]Sheet2!E38*195/226)</f>
        <v>25815.732909292037</v>
      </c>
      <c r="G38" s="329"/>
      <c r="H38" s="329">
        <f t="shared" si="0"/>
        <v>2349.8271414823012</v>
      </c>
      <c r="I38" s="329"/>
      <c r="J38" s="329">
        <f t="shared" si="1"/>
        <v>6944.4321525995583</v>
      </c>
      <c r="K38" s="329"/>
      <c r="L38" s="329">
        <f>F38+ROUND(H38,0)+ROUND(J38,0)</f>
        <v>35109.732909292041</v>
      </c>
      <c r="M38" s="329"/>
      <c r="N38" s="330">
        <f>F38</f>
        <v>25815.732909292037</v>
      </c>
      <c r="O38" s="329"/>
      <c r="P38" s="329"/>
      <c r="Q38" s="329"/>
      <c r="R38" s="329">
        <f t="shared" si="4"/>
        <v>2349.8271414823012</v>
      </c>
      <c r="S38" s="329"/>
      <c r="T38" s="329">
        <f>SUM(N38:R38)</f>
        <v>28165.560050774337</v>
      </c>
      <c r="U38" s="223"/>
      <c r="V38" s="333"/>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row>
    <row r="39" spans="1:59" ht="16" customHeight="1" x14ac:dyDescent="0.35">
      <c r="A39" s="270"/>
      <c r="B39" s="241"/>
      <c r="C39" s="331" t="s">
        <v>697</v>
      </c>
      <c r="D39" s="331">
        <v>24</v>
      </c>
      <c r="E39" s="328"/>
      <c r="F39" s="329">
        <f>SUM([18]Sheet2!E39*195/226)</f>
        <v>26793.608296460181</v>
      </c>
      <c r="G39" s="329"/>
      <c r="H39" s="329">
        <f>IF($F39&gt;$W$12,($F39-$W$12)*$Y$12,"ERROR")</f>
        <v>2484.7739449115052</v>
      </c>
      <c r="I39" s="329"/>
      <c r="J39" s="329">
        <f t="shared" si="1"/>
        <v>7207.4806317477887</v>
      </c>
      <c r="K39" s="329"/>
      <c r="L39" s="329">
        <f t="shared" si="2"/>
        <v>36485.608296460181</v>
      </c>
      <c r="M39" s="329"/>
      <c r="N39" s="330">
        <f t="shared" si="3"/>
        <v>26793.608296460181</v>
      </c>
      <c r="O39" s="329"/>
      <c r="P39" s="329"/>
      <c r="Q39" s="329"/>
      <c r="R39" s="329">
        <f t="shared" si="4"/>
        <v>2484.7739449115052</v>
      </c>
      <c r="S39" s="329"/>
      <c r="T39" s="329">
        <f t="shared" si="5"/>
        <v>29278.382241371684</v>
      </c>
      <c r="U39" s="223"/>
      <c r="V39" s="333"/>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row>
    <row r="40" spans="1:59" ht="16" customHeight="1" thickBot="1" x14ac:dyDescent="0.4">
      <c r="A40" s="270" t="s">
        <v>712</v>
      </c>
      <c r="B40" s="801"/>
      <c r="C40" s="802" t="s">
        <v>713</v>
      </c>
      <c r="D40" s="803">
        <v>0.6</v>
      </c>
      <c r="E40" s="804"/>
      <c r="F40" s="805">
        <f>$F$24-(($F$24-$F$23)*40%)</f>
        <v>17014.188537117905</v>
      </c>
      <c r="G40" s="806"/>
      <c r="H40" s="382">
        <f>IF($F40&gt;$W$12,($F40-$W$12)*$Y$12,"ERROR")</f>
        <v>1135.214018122271</v>
      </c>
      <c r="I40" s="382"/>
      <c r="J40" s="382">
        <f t="shared" si="1"/>
        <v>4576.8167164847164</v>
      </c>
      <c r="K40" s="382"/>
      <c r="L40" s="382">
        <f>F40+ROUND(H40,0)+ROUND(J40,0)</f>
        <v>22726.188537117905</v>
      </c>
      <c r="M40" s="779"/>
      <c r="N40" s="807"/>
      <c r="O40" s="779"/>
      <c r="P40" s="779"/>
      <c r="Q40" s="779"/>
      <c r="R40" s="779"/>
      <c r="S40" s="779"/>
      <c r="T40" s="779"/>
      <c r="U40" s="775"/>
      <c r="V40" s="333"/>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row>
    <row r="41" spans="1:59" ht="16" customHeight="1" thickBot="1" x14ac:dyDescent="0.4">
      <c r="A41" s="270"/>
      <c r="B41" s="270"/>
      <c r="C41" s="802" t="s">
        <v>713</v>
      </c>
      <c r="D41" s="803">
        <v>0.7</v>
      </c>
      <c r="E41" s="804"/>
      <c r="F41" s="805">
        <f>F24-((F24-F23)*30%)</f>
        <v>17106.057805676857</v>
      </c>
      <c r="G41" s="806"/>
      <c r="H41" s="382">
        <f>IF($F41&gt;$W$12,($F41-$W$12)*$Y$12,"ERROR")</f>
        <v>1147.8919771834064</v>
      </c>
      <c r="I41" s="382"/>
      <c r="J41" s="382">
        <f t="shared" si="1"/>
        <v>4601.5295497270745</v>
      </c>
      <c r="K41" s="382"/>
      <c r="L41" s="382">
        <f>F41+ROUND(H41,0)+ROUND(J41,0)</f>
        <v>22856.057805676857</v>
      </c>
      <c r="M41" s="779"/>
      <c r="N41" s="270"/>
      <c r="O41" s="270"/>
      <c r="P41" s="270"/>
      <c r="Q41" s="270"/>
      <c r="R41" s="270"/>
      <c r="S41" s="270"/>
      <c r="T41" s="270"/>
      <c r="U41" s="270"/>
      <c r="V41" s="333"/>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row>
    <row r="42" spans="1:59" ht="16" customHeight="1" x14ac:dyDescent="0.35">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row>
    <row r="43" spans="1:59" ht="18" thickBot="1" x14ac:dyDescent="0.4">
      <c r="A43" s="270"/>
      <c r="B43" s="270"/>
      <c r="C43" s="270"/>
      <c r="D43" s="270"/>
      <c r="E43" s="270"/>
      <c r="F43" s="808">
        <f>F24-((F24-F23)*50%)</f>
        <v>16922.319268558953</v>
      </c>
      <c r="G43" s="779"/>
      <c r="H43" s="358">
        <f>IF($F43&gt;$W$12,($F43-$W$12)*$Y$12,"ERROR")</f>
        <v>1122.5360590611356</v>
      </c>
      <c r="I43" s="358"/>
      <c r="J43" s="358">
        <f>$F43*$X$15</f>
        <v>4552.1038832423583</v>
      </c>
      <c r="K43" s="358"/>
      <c r="L43" s="358">
        <f>F43+ROUND(H43,0)+ROUND(J43,0)</f>
        <v>22597.319268558953</v>
      </c>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row>
    <row r="44" spans="1:59" x14ac:dyDescent="0.35">
      <c r="A44" s="270"/>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row>
    <row r="45" spans="1:59" ht="18" thickBot="1" x14ac:dyDescent="0.4">
      <c r="A45" s="270"/>
      <c r="B45" s="270"/>
      <c r="C45" s="270"/>
      <c r="D45" s="270"/>
      <c r="E45" s="270"/>
      <c r="F45" s="805">
        <f>F40+(F40*2%)</f>
        <v>17354.472307860262</v>
      </c>
      <c r="G45" s="806"/>
      <c r="H45" s="382">
        <f>IF($F45&gt;$W$12,($F45-$W$12)*$Y$12,"ERROR")</f>
        <v>1182.1731784847163</v>
      </c>
      <c r="I45" s="382"/>
      <c r="J45" s="382">
        <f>$F45*$X$15</f>
        <v>4668.3530508144104</v>
      </c>
      <c r="K45" s="382"/>
      <c r="L45" s="382">
        <f>F45+ROUND(H45,0)+ROUND(J45,0)</f>
        <v>23204.472307860262</v>
      </c>
      <c r="M45" s="270"/>
      <c r="N45" s="270"/>
      <c r="O45" s="270"/>
      <c r="P45" s="270"/>
      <c r="Q45" s="270" t="s">
        <v>714</v>
      </c>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row>
    <row r="46" spans="1:59" x14ac:dyDescent="0.35">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row>
    <row r="47" spans="1:59" ht="18" thickBot="1" x14ac:dyDescent="0.4">
      <c r="A47" s="270"/>
      <c r="B47" s="270"/>
      <c r="C47" s="270"/>
      <c r="D47" s="270"/>
      <c r="E47" s="270"/>
      <c r="F47" s="805">
        <f>F45</f>
        <v>17354.472307860262</v>
      </c>
      <c r="G47" s="806"/>
      <c r="H47" s="382">
        <f>IF($F47&gt;$W$12,($F47-$W$12)*($Y$12+0.0125),"ERROR")</f>
        <v>1289.2540823329696</v>
      </c>
      <c r="I47" s="382"/>
      <c r="J47" s="382">
        <f>$F47*$X$15</f>
        <v>4668.3530508144104</v>
      </c>
      <c r="K47" s="382"/>
      <c r="L47" s="382">
        <f>F47+ROUND(H47,0)+ROUND(J47,0)</f>
        <v>23311.472307860262</v>
      </c>
      <c r="M47" s="270"/>
      <c r="N47" s="270"/>
      <c r="O47" s="270"/>
      <c r="P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row>
    <row r="48" spans="1:59" x14ac:dyDescent="0.35">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row>
    <row r="49" spans="1:59" x14ac:dyDescent="0.35">
      <c r="A49" s="270"/>
      <c r="B49" s="270"/>
      <c r="C49" s="270"/>
      <c r="D49" s="270"/>
      <c r="E49" s="270"/>
      <c r="F49" s="270"/>
      <c r="G49" s="270"/>
      <c r="H49" s="618">
        <f>H47-H45</f>
        <v>107.08090384825323</v>
      </c>
      <c r="I49" s="270"/>
      <c r="J49" s="270" t="s">
        <v>668</v>
      </c>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row>
    <row r="50" spans="1:59" x14ac:dyDescent="0.35">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row>
    <row r="51" spans="1:59" x14ac:dyDescent="0.35">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row>
    <row r="52" spans="1:59" x14ac:dyDescent="0.35">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row>
    <row r="53" spans="1:59" x14ac:dyDescent="0.35">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row>
    <row r="54" spans="1:59" x14ac:dyDescent="0.35">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row>
    <row r="55" spans="1:59" x14ac:dyDescent="0.35">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row>
    <row r="56" spans="1:59" x14ac:dyDescent="0.35">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row>
    <row r="57" spans="1:59" x14ac:dyDescent="0.35">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row>
    <row r="58" spans="1:59" x14ac:dyDescent="0.35">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row>
    <row r="59" spans="1:59" x14ac:dyDescent="0.35">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row>
    <row r="60" spans="1:59" x14ac:dyDescent="0.35">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row>
    <row r="61" spans="1:59" x14ac:dyDescent="0.35">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row>
    <row r="62" spans="1:59" x14ac:dyDescent="0.35">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row>
    <row r="63" spans="1:59" x14ac:dyDescent="0.35">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row>
    <row r="64" spans="1:59" x14ac:dyDescent="0.35">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row>
    <row r="65" spans="1:59" x14ac:dyDescent="0.35">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row>
    <row r="66" spans="1:59" x14ac:dyDescent="0.35">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row>
    <row r="67" spans="1:59" x14ac:dyDescent="0.35">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row>
    <row r="68" spans="1:59" x14ac:dyDescent="0.35">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row>
    <row r="69" spans="1:59" x14ac:dyDescent="0.35">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c r="BC69" s="270"/>
      <c r="BD69" s="270"/>
      <c r="BE69" s="270"/>
      <c r="BF69" s="270"/>
      <c r="BG69" s="270"/>
    </row>
    <row r="70" spans="1:59" x14ac:dyDescent="0.35">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c r="BA70" s="270"/>
      <c r="BB70" s="270"/>
      <c r="BC70" s="270"/>
      <c r="BD70" s="270"/>
      <c r="BE70" s="270"/>
      <c r="BF70" s="270"/>
      <c r="BG70" s="270"/>
    </row>
    <row r="71" spans="1:59" x14ac:dyDescent="0.35">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row>
    <row r="72" spans="1:59" x14ac:dyDescent="0.35">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c r="BA72" s="270"/>
      <c r="BB72" s="270"/>
      <c r="BC72" s="270"/>
      <c r="BD72" s="270"/>
      <c r="BE72" s="270"/>
      <c r="BF72" s="270"/>
      <c r="BG72" s="270"/>
    </row>
  </sheetData>
  <mergeCells count="3">
    <mergeCell ref="C9:D9"/>
    <mergeCell ref="B15:M15"/>
    <mergeCell ref="N15:U1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5CDB-879E-41E5-B0B5-AFC9DBB40F49}">
  <sheetPr>
    <tabColor theme="4" tint="0.39997558519241921"/>
  </sheetPr>
  <dimension ref="A1:BG72"/>
  <sheetViews>
    <sheetView topLeftCell="A12" workbookViewId="0">
      <selection activeCell="V3" sqref="V3"/>
    </sheetView>
  </sheetViews>
  <sheetFormatPr defaultColWidth="8.7265625" defaultRowHeight="15.5" x14ac:dyDescent="0.35"/>
  <cols>
    <col min="1" max="1" width="9.453125" style="190" customWidth="1"/>
    <col min="2" max="2" width="4.81640625" style="190" customWidth="1"/>
    <col min="3" max="3" width="16.7265625" style="190" customWidth="1"/>
    <col min="4" max="4" width="8.26953125" style="190" customWidth="1"/>
    <col min="5" max="5" width="7.26953125" style="190" customWidth="1"/>
    <col min="6" max="6" width="10.453125" style="190" customWidth="1"/>
    <col min="7" max="7" width="3.1796875" style="190" customWidth="1"/>
    <col min="8" max="8" width="8.7265625" style="190" bestFit="1"/>
    <col min="9" max="9" width="3.1796875" style="190" customWidth="1"/>
    <col min="10" max="10" width="9.453125" style="190" bestFit="1" customWidth="1"/>
    <col min="11" max="11" width="3.1796875" style="190" customWidth="1"/>
    <col min="12" max="12" width="9.81640625" style="190" bestFit="1" customWidth="1"/>
    <col min="13" max="13" width="3.1796875" style="190" customWidth="1"/>
    <col min="14" max="14" width="10.54296875" style="190" customWidth="1"/>
    <col min="15" max="17" width="3.1796875" style="190" customWidth="1"/>
    <col min="18" max="18" width="8.453125" style="190" customWidth="1"/>
    <col min="19" max="19" width="3.1796875" style="190" customWidth="1"/>
    <col min="20" max="20" width="11.26953125" style="190" customWidth="1"/>
    <col min="21" max="21" width="3.1796875" style="190" customWidth="1"/>
    <col min="22" max="22" width="20.7265625" style="190" customWidth="1"/>
    <col min="23" max="25" width="9.81640625" style="190" customWidth="1"/>
    <col min="26" max="16384" width="8.7265625" style="190"/>
  </cols>
  <sheetData>
    <row r="1" spans="1:59" s="277" customFormat="1" ht="21.5" thickTop="1" x14ac:dyDescent="0.5">
      <c r="A1" s="270"/>
      <c r="B1" s="271" t="s">
        <v>678</v>
      </c>
      <c r="C1" s="272"/>
      <c r="D1" s="272"/>
      <c r="E1" s="272"/>
      <c r="F1" s="272"/>
      <c r="G1" s="273"/>
      <c r="H1" s="272"/>
      <c r="I1" s="272"/>
      <c r="J1" s="272"/>
      <c r="K1" s="272"/>
      <c r="L1" s="272"/>
      <c r="M1" s="272"/>
      <c r="N1" s="272"/>
      <c r="O1" s="272"/>
      <c r="P1" s="272"/>
      <c r="Q1" s="272"/>
      <c r="R1" s="272"/>
      <c r="S1" s="272"/>
      <c r="T1" s="272"/>
      <c r="U1" s="274"/>
      <c r="V1" s="270"/>
      <c r="W1" s="275"/>
      <c r="X1" s="270"/>
      <c r="Y1" s="270"/>
      <c r="Z1" s="270"/>
      <c r="AA1" s="270"/>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row>
    <row r="2" spans="1:59" s="277" customFormat="1" ht="21.5" thickBot="1" x14ac:dyDescent="0.55000000000000004">
      <c r="A2" s="278" t="s">
        <v>609</v>
      </c>
      <c r="B2" s="641" t="s">
        <v>715</v>
      </c>
      <c r="C2" s="280"/>
      <c r="D2" s="280"/>
      <c r="E2" s="280"/>
      <c r="F2" s="280"/>
      <c r="G2" s="281"/>
      <c r="H2" s="280"/>
      <c r="I2" s="280"/>
      <c r="J2" s="280"/>
      <c r="K2" s="280"/>
      <c r="L2" s="280"/>
      <c r="M2" s="280"/>
      <c r="N2" s="280"/>
      <c r="O2" s="280"/>
      <c r="P2" s="280"/>
      <c r="Q2" s="280"/>
      <c r="R2" s="280"/>
      <c r="S2" s="280"/>
      <c r="T2" s="280"/>
      <c r="U2" s="280"/>
      <c r="V2" s="642"/>
      <c r="W2" s="275"/>
      <c r="X2" s="270"/>
      <c r="Y2" s="270"/>
      <c r="Z2" s="270"/>
      <c r="AA2" s="270"/>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row>
    <row r="3" spans="1:59" s="277" customFormat="1" ht="21.75" customHeight="1" x14ac:dyDescent="0.5">
      <c r="A3" s="278" t="s">
        <v>611</v>
      </c>
      <c r="B3" s="283" t="s">
        <v>680</v>
      </c>
      <c r="C3" s="284"/>
      <c r="D3" s="284"/>
      <c r="E3" s="284"/>
      <c r="F3" s="284"/>
      <c r="G3" s="285"/>
      <c r="H3" s="284"/>
      <c r="I3" s="284"/>
      <c r="J3" s="284"/>
      <c r="K3" s="284"/>
      <c r="L3" s="284"/>
      <c r="M3" s="284"/>
      <c r="N3" s="284"/>
      <c r="O3" s="284"/>
      <c r="P3" s="284"/>
      <c r="Q3" s="284"/>
      <c r="R3" s="284"/>
      <c r="S3" s="284"/>
      <c r="T3" s="284"/>
      <c r="U3" s="286"/>
      <c r="V3" s="270"/>
      <c r="W3" s="275"/>
      <c r="X3" s="270"/>
      <c r="Y3" s="270"/>
      <c r="Z3" s="270"/>
      <c r="AA3" s="270"/>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row>
    <row r="4" spans="1:59" s="277" customFormat="1" ht="21.75" customHeight="1" x14ac:dyDescent="0.5">
      <c r="A4" s="278"/>
      <c r="B4" s="287"/>
      <c r="C4" s="288"/>
      <c r="D4" s="288"/>
      <c r="E4" s="288"/>
      <c r="F4" s="288"/>
      <c r="G4" s="289"/>
      <c r="H4" s="288"/>
      <c r="I4" s="288"/>
      <c r="J4" s="288"/>
      <c r="K4" s="288"/>
      <c r="L4" s="288"/>
      <c r="M4" s="288"/>
      <c r="N4" s="288"/>
      <c r="O4" s="288"/>
      <c r="P4" s="288"/>
      <c r="Q4" s="288"/>
      <c r="R4" s="288"/>
      <c r="S4" s="288"/>
      <c r="T4" s="288"/>
      <c r="U4" s="290"/>
      <c r="V4" s="270"/>
      <c r="W4" s="275"/>
      <c r="X4" s="270"/>
      <c r="Y4" s="270"/>
      <c r="Z4" s="270"/>
      <c r="AA4" s="270"/>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row>
    <row r="5" spans="1:59" s="277" customFormat="1" ht="21.75" customHeight="1" x14ac:dyDescent="0.5">
      <c r="A5" s="278"/>
      <c r="B5" s="291" t="s">
        <v>716</v>
      </c>
      <c r="C5" s="288"/>
      <c r="D5" s="288"/>
      <c r="E5" s="288"/>
      <c r="F5" s="288"/>
      <c r="G5" s="289"/>
      <c r="H5" s="288"/>
      <c r="I5" s="288"/>
      <c r="J5" s="288"/>
      <c r="K5" s="288"/>
      <c r="L5" s="288"/>
      <c r="M5" s="288"/>
      <c r="N5" s="288"/>
      <c r="O5" s="288"/>
      <c r="P5" s="288"/>
      <c r="Q5" s="288"/>
      <c r="R5" s="288"/>
      <c r="S5" s="288"/>
      <c r="T5" s="288"/>
      <c r="U5" s="290"/>
      <c r="V5" s="270" t="s">
        <v>275</v>
      </c>
      <c r="W5" s="275"/>
      <c r="X5" s="270"/>
      <c r="Y5" s="270"/>
      <c r="Z5" s="270"/>
      <c r="AA5" s="270"/>
      <c r="AB5" s="276"/>
      <c r="AC5" s="276"/>
      <c r="AD5" s="276"/>
      <c r="AE5" s="276"/>
      <c r="AF5" s="276"/>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row>
    <row r="6" spans="1:59" s="277" customFormat="1" ht="21.75" customHeight="1" x14ac:dyDescent="0.5">
      <c r="A6" s="278"/>
      <c r="B6" s="291" t="s">
        <v>717</v>
      </c>
      <c r="C6" s="292"/>
      <c r="D6" s="292"/>
      <c r="E6" s="292"/>
      <c r="F6" s="292"/>
      <c r="G6" s="292"/>
      <c r="H6" s="292"/>
      <c r="I6" s="292"/>
      <c r="J6" s="292"/>
      <c r="K6" s="292"/>
      <c r="L6" s="292"/>
      <c r="M6" s="292"/>
      <c r="N6" s="292"/>
      <c r="O6" s="292"/>
      <c r="P6" s="292"/>
      <c r="Q6" s="292"/>
      <c r="R6" s="292"/>
      <c r="S6" s="292"/>
      <c r="T6" s="292"/>
      <c r="U6" s="293"/>
      <c r="V6" s="270"/>
      <c r="W6" s="270"/>
      <c r="X6" s="270"/>
      <c r="Y6" s="270"/>
      <c r="Z6" s="270"/>
      <c r="AA6" s="270"/>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row>
    <row r="7" spans="1:59" s="277" customFormat="1" ht="21.75" customHeight="1" x14ac:dyDescent="0.5">
      <c r="A7" s="278"/>
      <c r="B7" s="291" t="s">
        <v>718</v>
      </c>
      <c r="C7" s="292"/>
      <c r="D7" s="292"/>
      <c r="E7" s="292"/>
      <c r="F7" s="292"/>
      <c r="G7" s="292"/>
      <c r="H7" s="292"/>
      <c r="I7" s="292"/>
      <c r="J7" s="292"/>
      <c r="K7" s="292"/>
      <c r="L7" s="292"/>
      <c r="M7" s="292"/>
      <c r="N7" s="292"/>
      <c r="O7" s="292"/>
      <c r="P7" s="292"/>
      <c r="Q7" s="292"/>
      <c r="R7" s="292"/>
      <c r="S7" s="292"/>
      <c r="T7" s="292"/>
      <c r="U7" s="293"/>
      <c r="V7" s="270"/>
      <c r="W7" s="294"/>
      <c r="X7" s="294"/>
      <c r="Y7" s="294"/>
      <c r="Z7" s="270"/>
      <c r="AA7" s="270"/>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D7" s="276"/>
      <c r="BE7" s="276"/>
      <c r="BF7" s="276"/>
      <c r="BG7" s="276"/>
    </row>
    <row r="8" spans="1:59" s="277" customFormat="1" ht="21.75" customHeight="1" thickBot="1" x14ac:dyDescent="0.55000000000000004">
      <c r="A8" s="278"/>
      <c r="B8" s="786" t="s">
        <v>684</v>
      </c>
      <c r="C8" s="787"/>
      <c r="D8" s="787"/>
      <c r="E8" s="787"/>
      <c r="F8" s="787"/>
      <c r="G8" s="787"/>
      <c r="H8" s="787"/>
      <c r="I8" s="787"/>
      <c r="J8" s="787"/>
      <c r="K8" s="787"/>
      <c r="L8" s="787"/>
      <c r="M8" s="787"/>
      <c r="N8" s="787"/>
      <c r="O8" s="787"/>
      <c r="P8" s="787"/>
      <c r="Q8" s="787"/>
      <c r="R8" s="787"/>
      <c r="S8" s="787"/>
      <c r="T8" s="787"/>
      <c r="U8" s="788"/>
      <c r="V8" s="270"/>
      <c r="W8" s="294"/>
      <c r="X8" s="294"/>
      <c r="Y8" s="294"/>
      <c r="Z8" s="270"/>
      <c r="AA8" s="270"/>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row>
    <row r="9" spans="1:59" s="277" customFormat="1" ht="21.75" customHeight="1" x14ac:dyDescent="0.5">
      <c r="A9" s="278" t="s">
        <v>613</v>
      </c>
      <c r="B9" s="256"/>
      <c r="C9" s="1099" t="s">
        <v>621</v>
      </c>
      <c r="D9" s="1099"/>
      <c r="E9" s="207"/>
      <c r="F9" s="257" t="s">
        <v>719</v>
      </c>
      <c r="G9" s="207"/>
      <c r="H9" s="207"/>
      <c r="I9" s="207"/>
      <c r="J9" s="207"/>
      <c r="K9" s="207"/>
      <c r="L9" s="207"/>
      <c r="M9" s="207"/>
      <c r="N9" s="207"/>
      <c r="O9" s="295" t="s">
        <v>720</v>
      </c>
      <c r="P9" s="296"/>
      <c r="Q9" s="296"/>
      <c r="R9" s="297"/>
      <c r="S9" s="297"/>
      <c r="T9" s="297"/>
      <c r="U9" s="298"/>
      <c r="V9" s="278" t="s">
        <v>617</v>
      </c>
      <c r="W9" s="299" t="s">
        <v>616</v>
      </c>
      <c r="X9" s="300">
        <v>1</v>
      </c>
      <c r="Y9" s="301">
        <v>2</v>
      </c>
      <c r="Z9" s="270"/>
      <c r="AA9" s="270"/>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row>
    <row r="10" spans="1:59" s="306" customFormat="1" x14ac:dyDescent="0.45">
      <c r="A10" s="302"/>
      <c r="B10" s="195"/>
      <c r="C10" s="196">
        <f>$W$10</f>
        <v>0</v>
      </c>
      <c r="D10" s="196">
        <f>W12</f>
        <v>9100</v>
      </c>
      <c r="E10" s="196"/>
      <c r="F10" s="303" t="s">
        <v>687</v>
      </c>
      <c r="G10" s="196"/>
      <c r="H10" s="196"/>
      <c r="I10" s="196"/>
      <c r="J10" s="196"/>
      <c r="K10" s="196"/>
      <c r="L10" s="196"/>
      <c r="M10" s="196"/>
      <c r="N10" s="196"/>
      <c r="O10" s="196"/>
      <c r="P10" s="196"/>
      <c r="Q10" s="196"/>
      <c r="R10" s="196"/>
      <c r="S10" s="196"/>
      <c r="T10" s="196"/>
      <c r="U10" s="197"/>
      <c r="V10" s="304"/>
      <c r="W10" s="195">
        <v>0</v>
      </c>
      <c r="X10" s="196">
        <v>0</v>
      </c>
      <c r="Y10" s="197">
        <v>0</v>
      </c>
      <c r="Z10" s="304"/>
      <c r="AA10" s="304"/>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row>
    <row r="11" spans="1:59" s="306" customFormat="1" x14ac:dyDescent="0.45">
      <c r="A11" s="302"/>
      <c r="B11" s="195"/>
      <c r="C11" s="196">
        <f>W12</f>
        <v>9100</v>
      </c>
      <c r="D11" s="196" t="s">
        <v>688</v>
      </c>
      <c r="E11" s="196"/>
      <c r="F11" s="303" t="s">
        <v>689</v>
      </c>
      <c r="G11" s="196"/>
      <c r="H11" s="307">
        <f>$Y$12*100</f>
        <v>13.8</v>
      </c>
      <c r="I11" s="307" t="s">
        <v>690</v>
      </c>
      <c r="J11" s="196"/>
      <c r="K11" s="196"/>
      <c r="L11" s="307"/>
      <c r="M11" s="308"/>
      <c r="N11" s="196"/>
      <c r="O11" s="196"/>
      <c r="P11" s="196"/>
      <c r="Q11" s="196"/>
      <c r="R11" s="309"/>
      <c r="S11" s="196"/>
      <c r="T11" s="310"/>
      <c r="U11" s="311"/>
      <c r="V11" s="312" t="s">
        <v>619</v>
      </c>
      <c r="W11" s="195">
        <v>6396</v>
      </c>
      <c r="X11" s="213">
        <v>0</v>
      </c>
      <c r="Y11" s="214"/>
      <c r="Z11" s="304"/>
      <c r="AA11" s="304"/>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row>
    <row r="12" spans="1:59" s="306" customFormat="1" ht="16" thickBot="1" x14ac:dyDescent="0.5">
      <c r="A12" s="302"/>
      <c r="B12" s="789"/>
      <c r="C12" s="782"/>
      <c r="D12" s="782"/>
      <c r="E12" s="782"/>
      <c r="F12" s="782"/>
      <c r="G12" s="790"/>
      <c r="H12" s="791"/>
      <c r="I12" s="790"/>
      <c r="J12" s="782"/>
      <c r="K12" s="792"/>
      <c r="L12" s="793"/>
      <c r="M12" s="792"/>
      <c r="N12" s="782"/>
      <c r="O12" s="782"/>
      <c r="P12" s="794"/>
      <c r="Q12" s="782"/>
      <c r="R12" s="795"/>
      <c r="S12" s="782"/>
      <c r="T12" s="782"/>
      <c r="U12" s="771"/>
      <c r="V12" s="312" t="s">
        <v>624</v>
      </c>
      <c r="W12" s="195">
        <v>9100</v>
      </c>
      <c r="X12" s="213">
        <v>0</v>
      </c>
      <c r="Y12" s="214">
        <v>0.13800000000000001</v>
      </c>
      <c r="Z12" s="304"/>
      <c r="AA12" s="304"/>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row>
    <row r="13" spans="1:59" s="306" customFormat="1" ht="17" thickBot="1" x14ac:dyDescent="0.5">
      <c r="A13" s="278"/>
      <c r="B13" s="313"/>
      <c r="C13" s="314"/>
      <c r="D13" s="314"/>
      <c r="E13" s="315"/>
      <c r="F13" s="314"/>
      <c r="G13" s="315"/>
      <c r="H13" s="314"/>
      <c r="I13" s="315"/>
      <c r="J13" s="314"/>
      <c r="K13" s="315"/>
      <c r="L13" s="314"/>
      <c r="M13" s="315"/>
      <c r="N13" s="315"/>
      <c r="O13" s="315"/>
      <c r="P13" s="315"/>
      <c r="Q13" s="315"/>
      <c r="R13" s="315"/>
      <c r="S13" s="315"/>
      <c r="T13" s="315"/>
      <c r="U13" s="315"/>
      <c r="V13" s="312" t="s">
        <v>691</v>
      </c>
      <c r="W13" s="195">
        <v>50270</v>
      </c>
      <c r="X13" s="213">
        <v>0</v>
      </c>
      <c r="Y13" s="197"/>
      <c r="Z13" s="304"/>
      <c r="AA13" s="304"/>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row>
    <row r="14" spans="1:59" s="306" customFormat="1" ht="17.5" thickTop="1" thickBot="1" x14ac:dyDescent="0.5">
      <c r="A14" s="59"/>
      <c r="B14" s="316"/>
      <c r="C14" s="316"/>
      <c r="D14" s="316"/>
      <c r="E14" s="316"/>
      <c r="F14" s="317"/>
      <c r="G14" s="316"/>
      <c r="H14" s="316"/>
      <c r="I14" s="316"/>
      <c r="J14" s="316"/>
      <c r="K14" s="316"/>
      <c r="L14" s="316"/>
      <c r="M14" s="316"/>
      <c r="N14" s="316"/>
      <c r="O14" s="316"/>
      <c r="P14" s="316"/>
      <c r="Q14" s="316"/>
      <c r="R14" s="316"/>
      <c r="S14" s="316"/>
      <c r="T14" s="316"/>
      <c r="U14" s="316"/>
      <c r="V14" s="304"/>
      <c r="W14" s="195"/>
      <c r="X14" s="213"/>
      <c r="Y14" s="214"/>
      <c r="Z14" s="304"/>
      <c r="AA14" s="304"/>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row>
    <row r="15" spans="1:59" s="306" customFormat="1" ht="18.75" customHeight="1" thickTop="1" thickBot="1" x14ac:dyDescent="0.5">
      <c r="A15" s="278" t="s">
        <v>615</v>
      </c>
      <c r="B15" s="1100" t="s">
        <v>692</v>
      </c>
      <c r="C15" s="1101"/>
      <c r="D15" s="1101"/>
      <c r="E15" s="1101"/>
      <c r="F15" s="1101"/>
      <c r="G15" s="1101"/>
      <c r="H15" s="1101"/>
      <c r="I15" s="1101"/>
      <c r="J15" s="1101"/>
      <c r="K15" s="1101"/>
      <c r="L15" s="1101"/>
      <c r="M15" s="1102"/>
      <c r="N15" s="1103" t="s">
        <v>693</v>
      </c>
      <c r="O15" s="1104"/>
      <c r="P15" s="1104"/>
      <c r="Q15" s="1104"/>
      <c r="R15" s="1104"/>
      <c r="S15" s="1104"/>
      <c r="T15" s="1104"/>
      <c r="U15" s="1104"/>
      <c r="V15" s="643"/>
      <c r="W15" s="796" t="s">
        <v>627</v>
      </c>
      <c r="X15" s="770">
        <v>0.26900000000000002</v>
      </c>
      <c r="Y15" s="771"/>
      <c r="Z15" s="304"/>
      <c r="AA15" s="304"/>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row>
    <row r="16" spans="1:59" x14ac:dyDescent="0.35">
      <c r="A16" s="270"/>
      <c r="B16" s="318"/>
      <c r="C16" s="319" t="s">
        <v>694</v>
      </c>
      <c r="D16" s="319" t="s">
        <v>632</v>
      </c>
      <c r="E16" s="319"/>
      <c r="F16" s="320" t="s">
        <v>695</v>
      </c>
      <c r="G16" s="319"/>
      <c r="H16" s="320" t="s">
        <v>634</v>
      </c>
      <c r="I16" s="319"/>
      <c r="J16" s="320" t="s">
        <v>627</v>
      </c>
      <c r="K16" s="319"/>
      <c r="L16" s="320" t="s">
        <v>696</v>
      </c>
      <c r="M16" s="321"/>
      <c r="N16" s="322" t="s">
        <v>695</v>
      </c>
      <c r="O16" s="319"/>
      <c r="P16" s="319"/>
      <c r="Q16" s="319"/>
      <c r="R16" s="320" t="s">
        <v>634</v>
      </c>
      <c r="S16" s="319"/>
      <c r="T16" s="323" t="s">
        <v>696</v>
      </c>
      <c r="U16" s="324"/>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row>
    <row r="17" spans="1:59" ht="16" customHeight="1" thickBot="1" x14ac:dyDescent="0.4">
      <c r="A17" s="270"/>
      <c r="B17" s="797"/>
      <c r="C17" s="798"/>
      <c r="D17" s="798"/>
      <c r="E17" s="798"/>
      <c r="F17" s="798"/>
      <c r="G17" s="798"/>
      <c r="H17" s="798"/>
      <c r="I17" s="798"/>
      <c r="J17" s="798"/>
      <c r="K17" s="798"/>
      <c r="L17" s="798"/>
      <c r="M17" s="798"/>
      <c r="N17" s="799"/>
      <c r="O17" s="798"/>
      <c r="P17" s="798"/>
      <c r="Q17" s="798"/>
      <c r="R17" s="798"/>
      <c r="S17" s="798"/>
      <c r="T17" s="798"/>
      <c r="U17" s="800"/>
      <c r="V17" s="270"/>
      <c r="W17" s="270"/>
      <c r="X17" s="325"/>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row>
    <row r="18" spans="1:59" ht="16" customHeight="1" x14ac:dyDescent="0.35">
      <c r="A18" s="270"/>
      <c r="B18" s="216"/>
      <c r="C18" s="326" t="s">
        <v>697</v>
      </c>
      <c r="D18" s="327"/>
      <c r="E18" s="328"/>
      <c r="F18" s="329"/>
      <c r="G18" s="329"/>
      <c r="H18" s="329"/>
      <c r="I18" s="329"/>
      <c r="J18" s="329"/>
      <c r="K18" s="329"/>
      <c r="L18" s="329"/>
      <c r="M18" s="329"/>
      <c r="N18" s="330"/>
      <c r="O18" s="329"/>
      <c r="P18" s="329"/>
      <c r="Q18" s="329"/>
      <c r="R18" s="329"/>
      <c r="S18" s="329"/>
      <c r="T18" s="329"/>
      <c r="U18" s="223"/>
      <c r="V18" s="270"/>
      <c r="W18" s="270"/>
      <c r="X18" s="325"/>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row>
    <row r="19" spans="1:59" ht="16" customHeight="1" x14ac:dyDescent="0.35">
      <c r="A19" s="270"/>
      <c r="B19" s="216"/>
      <c r="C19" s="331" t="s">
        <v>698</v>
      </c>
      <c r="D19" s="327"/>
      <c r="E19" s="328"/>
      <c r="F19" s="329"/>
      <c r="G19" s="329"/>
      <c r="H19" s="329"/>
      <c r="I19" s="329"/>
      <c r="J19" s="329"/>
      <c r="K19" s="329"/>
      <c r="L19" s="329"/>
      <c r="M19" s="329"/>
      <c r="N19" s="330"/>
      <c r="O19" s="329"/>
      <c r="P19" s="329"/>
      <c r="Q19" s="329"/>
      <c r="R19" s="329"/>
      <c r="S19" s="329"/>
      <c r="T19" s="329"/>
      <c r="U19" s="223"/>
      <c r="V19" s="270"/>
      <c r="W19" s="332" t="s">
        <v>699</v>
      </c>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row>
    <row r="20" spans="1:59" ht="16" customHeight="1" x14ac:dyDescent="0.35">
      <c r="A20" s="270"/>
      <c r="B20" s="241"/>
      <c r="C20" s="331" t="s">
        <v>700</v>
      </c>
      <c r="D20" s="331">
        <v>6</v>
      </c>
      <c r="E20" s="328"/>
      <c r="F20" s="329">
        <f>SUM([19]Sheet2!E22*195/229)</f>
        <v>17722.008733624454</v>
      </c>
      <c r="G20" s="329"/>
      <c r="H20" s="329">
        <f t="shared" ref="H20:H39" si="0">IF($F20&gt;$W$12,($F20-$W$12)*$Y$12,"ERROR")</f>
        <v>1189.8372052401749</v>
      </c>
      <c r="I20" s="329"/>
      <c r="J20" s="329">
        <f t="shared" ref="J20:J39" si="1">$F20*$X$15</f>
        <v>4767.2203493449788</v>
      </c>
      <c r="K20" s="329"/>
      <c r="L20" s="329">
        <f t="shared" ref="L20:L39" si="2">F20+ROUND(H20,0)+ROUND(J20,0)</f>
        <v>23679.008733624454</v>
      </c>
      <c r="M20" s="329"/>
      <c r="N20" s="330">
        <f t="shared" ref="N20:N39" si="3">F20</f>
        <v>17722.008733624454</v>
      </c>
      <c r="O20" s="329"/>
      <c r="P20" s="329"/>
      <c r="Q20" s="329"/>
      <c r="R20" s="329">
        <f t="shared" ref="R20:R39" si="4">IF($N20&gt;$W$12,($N20-$W$12)*$Y$12,"ERROR")</f>
        <v>1189.8372052401749</v>
      </c>
      <c r="S20" s="329"/>
      <c r="T20" s="329">
        <f t="shared" ref="T20:T39" si="5">SUM(N20:R20)</f>
        <v>18911.84593886463</v>
      </c>
      <c r="U20" s="223"/>
      <c r="V20" s="333"/>
      <c r="W20" s="332" t="s">
        <v>638</v>
      </c>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row>
    <row r="21" spans="1:59" ht="16" customHeight="1" x14ac:dyDescent="0.35">
      <c r="A21" s="270"/>
      <c r="B21" s="241"/>
      <c r="C21" s="331" t="s">
        <v>697</v>
      </c>
      <c r="D21" s="331">
        <v>7</v>
      </c>
      <c r="E21" s="328"/>
      <c r="F21" s="329">
        <f>SUM([19]Sheet2!E23*195/229)</f>
        <v>18037.074235807861</v>
      </c>
      <c r="G21" s="329"/>
      <c r="H21" s="329">
        <f t="shared" si="0"/>
        <v>1233.3162445414848</v>
      </c>
      <c r="I21" s="329"/>
      <c r="J21" s="329">
        <f t="shared" si="1"/>
        <v>4851.972969432315</v>
      </c>
      <c r="K21" s="329"/>
      <c r="L21" s="329">
        <f t="shared" si="2"/>
        <v>24122.074235807861</v>
      </c>
      <c r="M21" s="329"/>
      <c r="N21" s="330">
        <f t="shared" si="3"/>
        <v>18037.074235807861</v>
      </c>
      <c r="O21" s="329"/>
      <c r="P21" s="329"/>
      <c r="Q21" s="329"/>
      <c r="R21" s="329">
        <f t="shared" si="4"/>
        <v>1233.3162445414848</v>
      </c>
      <c r="S21" s="329"/>
      <c r="T21" s="329">
        <f t="shared" si="5"/>
        <v>19270.390480349346</v>
      </c>
      <c r="U21" s="223"/>
      <c r="V21" s="333"/>
      <c r="W21" s="332"/>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row>
    <row r="22" spans="1:59" ht="16" customHeight="1" x14ac:dyDescent="0.35">
      <c r="A22" s="270"/>
      <c r="B22" s="241"/>
      <c r="C22" s="331" t="s">
        <v>697</v>
      </c>
      <c r="D22" s="331">
        <v>8</v>
      </c>
      <c r="E22" s="328"/>
      <c r="F22" s="329">
        <f>SUM([19]Sheet2!E24*195/229)</f>
        <v>18389.606986899562</v>
      </c>
      <c r="G22" s="329"/>
      <c r="H22" s="329">
        <f t="shared" si="0"/>
        <v>1281.9657641921397</v>
      </c>
      <c r="I22" s="329"/>
      <c r="J22" s="329">
        <f t="shared" si="1"/>
        <v>4946.8042794759822</v>
      </c>
      <c r="K22" s="329"/>
      <c r="L22" s="329">
        <f t="shared" si="2"/>
        <v>24618.606986899562</v>
      </c>
      <c r="M22" s="329"/>
      <c r="N22" s="330">
        <f t="shared" si="3"/>
        <v>18389.606986899562</v>
      </c>
      <c r="O22" s="329"/>
      <c r="P22" s="329"/>
      <c r="Q22" s="329"/>
      <c r="R22" s="329">
        <f t="shared" si="4"/>
        <v>1281.9657641921397</v>
      </c>
      <c r="S22" s="329"/>
      <c r="T22" s="329">
        <f t="shared" si="5"/>
        <v>19671.572751091702</v>
      </c>
      <c r="U22" s="223"/>
      <c r="V22" s="333"/>
      <c r="W22" s="332" t="s">
        <v>639</v>
      </c>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row>
    <row r="23" spans="1:59" ht="16" customHeight="1" x14ac:dyDescent="0.35">
      <c r="A23" s="270"/>
      <c r="B23" s="241"/>
      <c r="C23" s="334" t="s">
        <v>697</v>
      </c>
      <c r="D23" s="334">
        <v>9</v>
      </c>
      <c r="E23" s="335"/>
      <c r="F23" s="336">
        <f>SUM([19]Sheet2!E25*195/229)</f>
        <v>18706.37554585153</v>
      </c>
      <c r="G23" s="336"/>
      <c r="H23" s="336">
        <f t="shared" si="0"/>
        <v>1325.6798253275113</v>
      </c>
      <c r="I23" s="336"/>
      <c r="J23" s="336">
        <f t="shared" si="1"/>
        <v>5032.0150218340614</v>
      </c>
      <c r="K23" s="336"/>
      <c r="L23" s="336">
        <f t="shared" si="2"/>
        <v>25064.37554585153</v>
      </c>
      <c r="M23" s="336"/>
      <c r="N23" s="337">
        <f t="shared" si="3"/>
        <v>18706.37554585153</v>
      </c>
      <c r="O23" s="336"/>
      <c r="P23" s="336"/>
      <c r="Q23" s="336"/>
      <c r="R23" s="336">
        <f t="shared" si="4"/>
        <v>1325.6798253275113</v>
      </c>
      <c r="S23" s="336"/>
      <c r="T23" s="336">
        <f t="shared" si="5"/>
        <v>20032.055371179042</v>
      </c>
      <c r="U23" s="223"/>
      <c r="V23" s="270"/>
      <c r="W23" s="332" t="s">
        <v>675</v>
      </c>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row>
    <row r="24" spans="1:59" ht="16" customHeight="1" x14ac:dyDescent="0.35">
      <c r="A24" s="270"/>
      <c r="B24" s="241"/>
      <c r="C24" s="331" t="s">
        <v>701</v>
      </c>
      <c r="D24" s="331">
        <v>12</v>
      </c>
      <c r="E24" s="328"/>
      <c r="F24" s="329">
        <f>SUM([19]Sheet2!E28*195/229)</f>
        <v>19750.349344978167</v>
      </c>
      <c r="G24" s="329"/>
      <c r="H24" s="329">
        <f t="shared" si="0"/>
        <v>1469.7482096069873</v>
      </c>
      <c r="I24" s="329"/>
      <c r="J24" s="329">
        <f t="shared" si="1"/>
        <v>5312.8439737991275</v>
      </c>
      <c r="K24" s="329"/>
      <c r="L24" s="329">
        <f t="shared" si="2"/>
        <v>26533.349344978167</v>
      </c>
      <c r="M24" s="329"/>
      <c r="N24" s="330">
        <f t="shared" si="3"/>
        <v>19750.349344978167</v>
      </c>
      <c r="O24" s="329"/>
      <c r="P24" s="329"/>
      <c r="Q24" s="329"/>
      <c r="R24" s="329">
        <f t="shared" si="4"/>
        <v>1469.7482096069873</v>
      </c>
      <c r="S24" s="329"/>
      <c r="T24" s="329">
        <f t="shared" si="5"/>
        <v>21220.097554585154</v>
      </c>
      <c r="U24" s="223"/>
      <c r="V24" s="333"/>
      <c r="W24" s="332"/>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row>
    <row r="25" spans="1:59" ht="16" customHeight="1" x14ac:dyDescent="0.35">
      <c r="A25" s="270"/>
      <c r="B25" s="241"/>
      <c r="C25" s="331" t="s">
        <v>702</v>
      </c>
      <c r="D25" s="331">
        <v>13</v>
      </c>
      <c r="E25" s="328"/>
      <c r="F25" s="329">
        <f>SUM([19]Sheet2!E29*195/229)</f>
        <v>20467.336244541486</v>
      </c>
      <c r="G25" s="329"/>
      <c r="H25" s="329">
        <f t="shared" si="0"/>
        <v>1568.6924017467252</v>
      </c>
      <c r="I25" s="329"/>
      <c r="J25" s="329">
        <f t="shared" si="1"/>
        <v>5505.7134497816596</v>
      </c>
      <c r="K25" s="329"/>
      <c r="L25" s="329">
        <f t="shared" si="2"/>
        <v>27542.336244541486</v>
      </c>
      <c r="M25" s="329"/>
      <c r="N25" s="330">
        <f t="shared" si="3"/>
        <v>20467.336244541486</v>
      </c>
      <c r="O25" s="329"/>
      <c r="P25" s="329"/>
      <c r="Q25" s="329"/>
      <c r="R25" s="329">
        <f t="shared" si="4"/>
        <v>1568.6924017467252</v>
      </c>
      <c r="S25" s="329"/>
      <c r="T25" s="329">
        <f t="shared" si="5"/>
        <v>22036.02864628821</v>
      </c>
      <c r="U25" s="223"/>
      <c r="V25" s="333"/>
      <c r="W25" s="332" t="s">
        <v>644</v>
      </c>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row>
    <row r="26" spans="1:59" ht="16" customHeight="1" x14ac:dyDescent="0.35">
      <c r="A26" s="270"/>
      <c r="B26" s="241"/>
      <c r="C26" s="331" t="s">
        <v>697</v>
      </c>
      <c r="D26" s="331">
        <v>14</v>
      </c>
      <c r="E26" s="328"/>
      <c r="F26" s="329">
        <f>SUM([19]Sheet2!E30*195/229)</f>
        <v>21253.296943231442</v>
      </c>
      <c r="G26" s="329"/>
      <c r="H26" s="329">
        <f t="shared" si="0"/>
        <v>1677.1549781659392</v>
      </c>
      <c r="I26" s="329"/>
      <c r="J26" s="329">
        <f t="shared" si="1"/>
        <v>5717.1368777292582</v>
      </c>
      <c r="K26" s="329"/>
      <c r="L26" s="329">
        <f t="shared" si="2"/>
        <v>28647.296943231442</v>
      </c>
      <c r="M26" s="338"/>
      <c r="N26" s="329">
        <f t="shared" si="3"/>
        <v>21253.296943231442</v>
      </c>
      <c r="O26" s="329"/>
      <c r="P26" s="329"/>
      <c r="Q26" s="329"/>
      <c r="R26" s="329">
        <f t="shared" si="4"/>
        <v>1677.1549781659392</v>
      </c>
      <c r="S26" s="329"/>
      <c r="T26" s="329">
        <f t="shared" si="5"/>
        <v>22930.45192139738</v>
      </c>
      <c r="U26" s="223"/>
      <c r="V26" s="333"/>
      <c r="W26" s="332" t="s">
        <v>721</v>
      </c>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row>
    <row r="27" spans="1:59" ht="16" customHeight="1" x14ac:dyDescent="0.35">
      <c r="A27" s="270"/>
      <c r="B27" s="241"/>
      <c r="C27" s="334" t="s">
        <v>697</v>
      </c>
      <c r="D27" s="334">
        <v>15</v>
      </c>
      <c r="E27" s="335"/>
      <c r="F27" s="336">
        <f>SUM([19]Sheet2!E31*195/229)</f>
        <v>22035.851528384279</v>
      </c>
      <c r="G27" s="336"/>
      <c r="H27" s="336">
        <f t="shared" si="0"/>
        <v>1785.1475109170306</v>
      </c>
      <c r="I27" s="336"/>
      <c r="J27" s="336">
        <f t="shared" si="1"/>
        <v>5927.644061135371</v>
      </c>
      <c r="K27" s="336"/>
      <c r="L27" s="336">
        <f t="shared" si="2"/>
        <v>29748.851528384279</v>
      </c>
      <c r="M27" s="336"/>
      <c r="N27" s="337">
        <f t="shared" si="3"/>
        <v>22035.851528384279</v>
      </c>
      <c r="O27" s="336"/>
      <c r="P27" s="336"/>
      <c r="Q27" s="336"/>
      <c r="R27" s="336">
        <f t="shared" si="4"/>
        <v>1785.1475109170306</v>
      </c>
      <c r="S27" s="336"/>
      <c r="T27" s="336">
        <f t="shared" si="5"/>
        <v>23820.99903930131</v>
      </c>
      <c r="U27" s="223"/>
      <c r="V27" s="333"/>
      <c r="W27" s="332"/>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row>
    <row r="28" spans="1:59" ht="16" customHeight="1" x14ac:dyDescent="0.35">
      <c r="A28" s="270"/>
      <c r="B28" s="241"/>
      <c r="C28" s="331" t="s">
        <v>703</v>
      </c>
      <c r="D28" s="331">
        <v>15</v>
      </c>
      <c r="E28" s="328"/>
      <c r="F28" s="329">
        <f>SUM([19]Sheet2!E31*195/229)</f>
        <v>22035.851528384279</v>
      </c>
      <c r="G28" s="329"/>
      <c r="H28" s="329">
        <f t="shared" si="0"/>
        <v>1785.1475109170306</v>
      </c>
      <c r="I28" s="329"/>
      <c r="J28" s="329">
        <f t="shared" si="1"/>
        <v>5927.644061135371</v>
      </c>
      <c r="K28" s="329"/>
      <c r="L28" s="329">
        <f t="shared" si="2"/>
        <v>29748.851528384279</v>
      </c>
      <c r="M28" s="329"/>
      <c r="N28" s="330">
        <f t="shared" si="3"/>
        <v>22035.851528384279</v>
      </c>
      <c r="O28" s="329"/>
      <c r="P28" s="329"/>
      <c r="Q28" s="329"/>
      <c r="R28" s="329">
        <f t="shared" si="4"/>
        <v>1785.1475109170306</v>
      </c>
      <c r="S28" s="329"/>
      <c r="T28" s="329">
        <f t="shared" si="5"/>
        <v>23820.99903930131</v>
      </c>
      <c r="U28" s="223"/>
      <c r="V28" s="333"/>
      <c r="W28" s="332" t="s">
        <v>647</v>
      </c>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row>
    <row r="29" spans="1:59" ht="16" customHeight="1" x14ac:dyDescent="0.35">
      <c r="A29" s="270"/>
      <c r="B29" s="241"/>
      <c r="C29" s="331" t="s">
        <v>704</v>
      </c>
      <c r="D29" s="331">
        <v>16</v>
      </c>
      <c r="E29" s="328"/>
      <c r="F29" s="329">
        <f>SUM([19]Sheet2!E32*195/229)</f>
        <v>22722.183406113538</v>
      </c>
      <c r="G29" s="329"/>
      <c r="H29" s="329">
        <f t="shared" si="0"/>
        <v>1879.8613100436685</v>
      </c>
      <c r="I29" s="329"/>
      <c r="J29" s="329">
        <f t="shared" si="1"/>
        <v>6112.2673362445421</v>
      </c>
      <c r="K29" s="329"/>
      <c r="L29" s="329">
        <f t="shared" si="2"/>
        <v>30714.183406113538</v>
      </c>
      <c r="M29" s="329"/>
      <c r="N29" s="330">
        <f t="shared" si="3"/>
        <v>22722.183406113538</v>
      </c>
      <c r="O29" s="329"/>
      <c r="P29" s="329"/>
      <c r="Q29" s="329"/>
      <c r="R29" s="329">
        <f t="shared" si="4"/>
        <v>1879.8613100436685</v>
      </c>
      <c r="S29" s="329"/>
      <c r="T29" s="329">
        <f t="shared" si="5"/>
        <v>24602.044716157205</v>
      </c>
      <c r="U29" s="223"/>
      <c r="V29" s="333"/>
      <c r="W29" s="332" t="s">
        <v>649</v>
      </c>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row>
    <row r="30" spans="1:59" ht="16" customHeight="1" x14ac:dyDescent="0.35">
      <c r="A30" s="270"/>
      <c r="B30" s="241"/>
      <c r="C30" s="331" t="s">
        <v>705</v>
      </c>
      <c r="D30" s="331">
        <v>17</v>
      </c>
      <c r="E30" s="328"/>
      <c r="F30" s="329">
        <f>SUM([19]Sheet2!E33*195/229)</f>
        <v>23406.812227074235</v>
      </c>
      <c r="G30" s="329"/>
      <c r="H30" s="329">
        <f t="shared" si="0"/>
        <v>1974.3400873362446</v>
      </c>
      <c r="I30" s="329"/>
      <c r="J30" s="329">
        <f t="shared" si="1"/>
        <v>6296.4324890829694</v>
      </c>
      <c r="K30" s="329"/>
      <c r="L30" s="329">
        <f t="shared" si="2"/>
        <v>31676.812227074235</v>
      </c>
      <c r="M30" s="329"/>
      <c r="N30" s="330">
        <f t="shared" si="3"/>
        <v>23406.812227074235</v>
      </c>
      <c r="O30" s="329"/>
      <c r="P30" s="329"/>
      <c r="Q30" s="329"/>
      <c r="R30" s="329">
        <f t="shared" si="4"/>
        <v>1974.3400873362446</v>
      </c>
      <c r="S30" s="329"/>
      <c r="T30" s="329">
        <f t="shared" si="5"/>
        <v>25381.152314410479</v>
      </c>
      <c r="U30" s="223"/>
      <c r="V30" s="333"/>
      <c r="W30" s="332" t="s">
        <v>722</v>
      </c>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row>
    <row r="31" spans="1:59" ht="16" customHeight="1" x14ac:dyDescent="0.35">
      <c r="A31" s="270"/>
      <c r="B31" s="241"/>
      <c r="C31" s="334" t="s">
        <v>697</v>
      </c>
      <c r="D31" s="334">
        <v>18</v>
      </c>
      <c r="E31" s="335"/>
      <c r="F31" s="336">
        <f>SUM([19]Sheet2!E34*195/229)</f>
        <v>24158.711790393012</v>
      </c>
      <c r="G31" s="336"/>
      <c r="H31" s="336">
        <f t="shared" si="0"/>
        <v>2078.102227074236</v>
      </c>
      <c r="I31" s="336"/>
      <c r="J31" s="336">
        <f t="shared" si="1"/>
        <v>6498.6934716157202</v>
      </c>
      <c r="K31" s="336"/>
      <c r="L31" s="336">
        <f t="shared" si="2"/>
        <v>32735.711790393012</v>
      </c>
      <c r="M31" s="336"/>
      <c r="N31" s="337">
        <f t="shared" si="3"/>
        <v>24158.711790393012</v>
      </c>
      <c r="O31" s="336"/>
      <c r="P31" s="336"/>
      <c r="Q31" s="336"/>
      <c r="R31" s="336">
        <f t="shared" si="4"/>
        <v>2078.102227074236</v>
      </c>
      <c r="S31" s="336"/>
      <c r="T31" s="336">
        <f t="shared" si="5"/>
        <v>26236.814017467248</v>
      </c>
      <c r="U31" s="223"/>
      <c r="V31" s="333"/>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row>
    <row r="32" spans="1:59" ht="16" customHeight="1" x14ac:dyDescent="0.35">
      <c r="A32" s="270"/>
      <c r="B32" s="241"/>
      <c r="C32" s="331" t="s">
        <v>706</v>
      </c>
      <c r="D32" s="331">
        <v>18</v>
      </c>
      <c r="E32" s="328"/>
      <c r="F32" s="329">
        <f>SUM([19]Sheet2!E34*195/229)</f>
        <v>24158.711790393012</v>
      </c>
      <c r="G32" s="329"/>
      <c r="H32" s="329">
        <f t="shared" si="0"/>
        <v>2078.102227074236</v>
      </c>
      <c r="I32" s="329"/>
      <c r="J32" s="329">
        <f t="shared" si="1"/>
        <v>6498.6934716157202</v>
      </c>
      <c r="K32" s="329"/>
      <c r="L32" s="329">
        <f>F32+ROUND(H32,0)+ROUND(J32,0)</f>
        <v>32735.711790393012</v>
      </c>
      <c r="M32" s="329"/>
      <c r="N32" s="330">
        <f>F32</f>
        <v>24158.711790393012</v>
      </c>
      <c r="O32" s="329"/>
      <c r="P32" s="329"/>
      <c r="Q32" s="329"/>
      <c r="R32" s="329">
        <f t="shared" si="4"/>
        <v>2078.102227074236</v>
      </c>
      <c r="S32" s="329"/>
      <c r="T32" s="329">
        <f>SUM(N32:R32)</f>
        <v>26236.814017467248</v>
      </c>
      <c r="U32" s="223"/>
      <c r="V32" s="333"/>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270"/>
      <c r="BE32" s="270"/>
      <c r="BF32" s="270"/>
      <c r="BG32" s="270"/>
    </row>
    <row r="33" spans="1:59" ht="16" customHeight="1" x14ac:dyDescent="0.35">
      <c r="A33" s="270"/>
      <c r="B33" s="241"/>
      <c r="C33" s="331" t="s">
        <v>707</v>
      </c>
      <c r="D33" s="331">
        <v>19</v>
      </c>
      <c r="E33" s="328"/>
      <c r="F33" s="329">
        <f>SUM([19]Sheet2!E35*195/229)</f>
        <v>24846.746724890829</v>
      </c>
      <c r="G33" s="329"/>
      <c r="H33" s="329">
        <f t="shared" si="0"/>
        <v>2173.0510480349344</v>
      </c>
      <c r="I33" s="329"/>
      <c r="J33" s="329">
        <f t="shared" si="1"/>
        <v>6683.7748689956334</v>
      </c>
      <c r="K33" s="329"/>
      <c r="L33" s="329">
        <f>F33+ROUND(H33,0)+ROUND(J33,0)</f>
        <v>33703.746724890829</v>
      </c>
      <c r="M33" s="329"/>
      <c r="N33" s="330">
        <f>F33</f>
        <v>24846.746724890829</v>
      </c>
      <c r="O33" s="329"/>
      <c r="P33" s="329"/>
      <c r="Q33" s="329"/>
      <c r="R33" s="329">
        <f t="shared" si="4"/>
        <v>2173.0510480349344</v>
      </c>
      <c r="S33" s="329"/>
      <c r="T33" s="329">
        <f>SUM(N33:R33)</f>
        <v>27019.797772925762</v>
      </c>
      <c r="U33" s="223"/>
      <c r="V33" s="333"/>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row>
    <row r="34" spans="1:59" ht="16" customHeight="1" x14ac:dyDescent="0.35">
      <c r="A34" s="270"/>
      <c r="B34" s="241"/>
      <c r="C34" s="331" t="s">
        <v>708</v>
      </c>
      <c r="D34" s="331">
        <v>20</v>
      </c>
      <c r="E34" s="328"/>
      <c r="F34" s="329">
        <f>SUM([19]Sheet2!E36*195/229)</f>
        <v>25664.213973799127</v>
      </c>
      <c r="G34" s="329"/>
      <c r="H34" s="329">
        <f t="shared" si="0"/>
        <v>2285.8615283842796</v>
      </c>
      <c r="I34" s="329"/>
      <c r="J34" s="329">
        <f t="shared" si="1"/>
        <v>6903.6735589519658</v>
      </c>
      <c r="K34" s="329"/>
      <c r="L34" s="329">
        <f>F34+ROUND(H34,0)+ROUND(J34,0)</f>
        <v>34854.213973799124</v>
      </c>
      <c r="M34" s="329"/>
      <c r="N34" s="330">
        <f>F34</f>
        <v>25664.213973799127</v>
      </c>
      <c r="O34" s="329"/>
      <c r="P34" s="329"/>
      <c r="Q34" s="329"/>
      <c r="R34" s="329">
        <f t="shared" si="4"/>
        <v>2285.8615283842796</v>
      </c>
      <c r="S34" s="329"/>
      <c r="T34" s="329">
        <f>SUM(N34:R34)</f>
        <v>27950.075502183408</v>
      </c>
      <c r="U34" s="223"/>
      <c r="V34" s="333"/>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row>
    <row r="35" spans="1:59" ht="16" customHeight="1" x14ac:dyDescent="0.35">
      <c r="A35" s="270"/>
      <c r="B35" s="241"/>
      <c r="C35" s="334" t="s">
        <v>697</v>
      </c>
      <c r="D35" s="334">
        <v>21</v>
      </c>
      <c r="E35" s="335"/>
      <c r="F35" s="336">
        <f>SUM([19]Sheet2!E37*195/229)</f>
        <v>26481.681222707422</v>
      </c>
      <c r="G35" s="336"/>
      <c r="H35" s="336">
        <f t="shared" si="0"/>
        <v>2398.6720087336244</v>
      </c>
      <c r="I35" s="336"/>
      <c r="J35" s="336">
        <f t="shared" si="1"/>
        <v>7123.5722489082973</v>
      </c>
      <c r="K35" s="336"/>
      <c r="L35" s="336">
        <f>F35+ROUND(H35,0)+ROUND(J35,0)</f>
        <v>36004.681222707426</v>
      </c>
      <c r="M35" s="336"/>
      <c r="N35" s="337">
        <f>F35</f>
        <v>26481.681222707422</v>
      </c>
      <c r="O35" s="336"/>
      <c r="P35" s="336"/>
      <c r="Q35" s="336"/>
      <c r="R35" s="336">
        <f t="shared" si="4"/>
        <v>2398.6720087336244</v>
      </c>
      <c r="S35" s="336"/>
      <c r="T35" s="336">
        <f>SUM(N35:R35)</f>
        <v>28880.353231441048</v>
      </c>
      <c r="U35" s="223"/>
      <c r="V35" s="333"/>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row>
    <row r="36" spans="1:59" ht="16" customHeight="1" x14ac:dyDescent="0.35">
      <c r="A36" s="270"/>
      <c r="B36" s="241"/>
      <c r="C36" s="331" t="s">
        <v>709</v>
      </c>
      <c r="D36" s="331">
        <v>21</v>
      </c>
      <c r="E36" s="328"/>
      <c r="F36" s="329">
        <f>SUM([19]Sheet2!E37*195/226)</f>
        <v>26833.20796460177</v>
      </c>
      <c r="G36" s="329"/>
      <c r="H36" s="329">
        <f t="shared" si="0"/>
        <v>2447.1826991150447</v>
      </c>
      <c r="I36" s="329"/>
      <c r="J36" s="329">
        <f t="shared" si="1"/>
        <v>7218.1329424778769</v>
      </c>
      <c r="K36" s="329"/>
      <c r="L36" s="329">
        <f t="shared" si="2"/>
        <v>36498.207964601766</v>
      </c>
      <c r="M36" s="329"/>
      <c r="N36" s="330">
        <f t="shared" si="3"/>
        <v>26833.20796460177</v>
      </c>
      <c r="O36" s="329"/>
      <c r="P36" s="329"/>
      <c r="Q36" s="329"/>
      <c r="R36" s="329">
        <f t="shared" si="4"/>
        <v>2447.1826991150447</v>
      </c>
      <c r="S36" s="329"/>
      <c r="T36" s="329">
        <f t="shared" si="5"/>
        <v>29280.390663716815</v>
      </c>
      <c r="U36" s="223"/>
      <c r="V36" s="333"/>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row>
    <row r="37" spans="1:59" ht="16" customHeight="1" x14ac:dyDescent="0.35">
      <c r="A37" s="270"/>
      <c r="B37" s="241"/>
      <c r="C37" s="331" t="s">
        <v>710</v>
      </c>
      <c r="D37" s="331">
        <v>22</v>
      </c>
      <c r="E37" s="328"/>
      <c r="F37" s="329">
        <f>SUM([19]Sheet2!E38*195/226)</f>
        <v>27929.004424778763</v>
      </c>
      <c r="G37" s="329"/>
      <c r="H37" s="329">
        <f t="shared" si="0"/>
        <v>2598.4026106194697</v>
      </c>
      <c r="I37" s="329"/>
      <c r="J37" s="329">
        <f t="shared" si="1"/>
        <v>7512.9021902654877</v>
      </c>
      <c r="K37" s="329"/>
      <c r="L37" s="329">
        <f t="shared" si="2"/>
        <v>38040.004424778759</v>
      </c>
      <c r="M37" s="329"/>
      <c r="N37" s="330">
        <f t="shared" si="3"/>
        <v>27929.004424778763</v>
      </c>
      <c r="O37" s="329"/>
      <c r="P37" s="329"/>
      <c r="Q37" s="329"/>
      <c r="R37" s="329">
        <f t="shared" si="4"/>
        <v>2598.4026106194697</v>
      </c>
      <c r="S37" s="329"/>
      <c r="T37" s="329">
        <f t="shared" si="5"/>
        <v>30527.407035398232</v>
      </c>
      <c r="U37" s="223"/>
      <c r="V37" s="333"/>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row>
    <row r="38" spans="1:59" ht="16" customHeight="1" x14ac:dyDescent="0.35">
      <c r="A38" s="270"/>
      <c r="B38" s="241"/>
      <c r="C38" s="331" t="s">
        <v>711</v>
      </c>
      <c r="D38" s="331">
        <v>23</v>
      </c>
      <c r="E38" s="328"/>
      <c r="F38" s="329">
        <f>SUM([19]Sheet2!E39*195/226)</f>
        <v>28922.986725663715</v>
      </c>
      <c r="G38" s="329"/>
      <c r="H38" s="329">
        <f t="shared" si="0"/>
        <v>2735.572168141593</v>
      </c>
      <c r="I38" s="329"/>
      <c r="J38" s="329">
        <f t="shared" si="1"/>
        <v>7780.2834292035395</v>
      </c>
      <c r="K38" s="329"/>
      <c r="L38" s="329">
        <f>F38+ROUND(H38,0)+ROUND(J38,0)</f>
        <v>39438.986725663715</v>
      </c>
      <c r="M38" s="329"/>
      <c r="N38" s="330">
        <f>F38</f>
        <v>28922.986725663715</v>
      </c>
      <c r="O38" s="329"/>
      <c r="P38" s="329"/>
      <c r="Q38" s="329"/>
      <c r="R38" s="329">
        <f t="shared" si="4"/>
        <v>2735.572168141593</v>
      </c>
      <c r="S38" s="329"/>
      <c r="T38" s="329">
        <f>SUM(N38:R38)</f>
        <v>31658.558893805308</v>
      </c>
      <c r="U38" s="223"/>
      <c r="V38" s="333"/>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row>
    <row r="39" spans="1:59" ht="16" customHeight="1" x14ac:dyDescent="0.35">
      <c r="A39" s="270"/>
      <c r="B39" s="241"/>
      <c r="C39" s="331" t="s">
        <v>697</v>
      </c>
      <c r="D39" s="331">
        <v>24</v>
      </c>
      <c r="E39" s="328"/>
      <c r="F39" s="329">
        <f>SUM([19]Sheet2!E40*195/226)</f>
        <v>29960.110619469026</v>
      </c>
      <c r="G39" s="329"/>
      <c r="H39" s="329">
        <f t="shared" si="0"/>
        <v>2878.6952654867259</v>
      </c>
      <c r="I39" s="329"/>
      <c r="J39" s="329">
        <f t="shared" si="1"/>
        <v>8059.269756637168</v>
      </c>
      <c r="K39" s="329"/>
      <c r="L39" s="329">
        <f t="shared" si="2"/>
        <v>40898.110619469022</v>
      </c>
      <c r="M39" s="329"/>
      <c r="N39" s="330">
        <f t="shared" si="3"/>
        <v>29960.110619469026</v>
      </c>
      <c r="O39" s="329"/>
      <c r="P39" s="329"/>
      <c r="Q39" s="329"/>
      <c r="R39" s="329">
        <f t="shared" si="4"/>
        <v>2878.6952654867259</v>
      </c>
      <c r="S39" s="329"/>
      <c r="T39" s="329">
        <f t="shared" si="5"/>
        <v>32838.805884955749</v>
      </c>
      <c r="U39" s="223"/>
      <c r="V39" s="333"/>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row>
    <row r="40" spans="1:59" ht="16" customHeight="1" thickBot="1" x14ac:dyDescent="0.4">
      <c r="A40" s="270"/>
      <c r="B40" s="801"/>
      <c r="C40" s="777"/>
      <c r="D40" s="777"/>
      <c r="E40" s="810"/>
      <c r="F40" s="779"/>
      <c r="G40" s="779"/>
      <c r="H40" s="779"/>
      <c r="I40" s="779"/>
      <c r="J40" s="779"/>
      <c r="K40" s="779"/>
      <c r="L40" s="779"/>
      <c r="M40" s="779"/>
      <c r="N40" s="807"/>
      <c r="O40" s="779"/>
      <c r="P40" s="779"/>
      <c r="Q40" s="779"/>
      <c r="R40" s="779"/>
      <c r="S40" s="779"/>
      <c r="T40" s="779"/>
      <c r="U40" s="775"/>
      <c r="V40" s="333"/>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row>
    <row r="41" spans="1:59" ht="16" customHeight="1" x14ac:dyDescent="0.35">
      <c r="A41" s="270"/>
      <c r="B41" s="270"/>
      <c r="C41" s="270"/>
      <c r="D41" s="270"/>
      <c r="E41" s="270"/>
      <c r="F41" s="270"/>
      <c r="G41" s="270"/>
      <c r="H41" s="270"/>
      <c r="I41" s="270"/>
      <c r="J41" s="270"/>
      <c r="K41" s="270"/>
      <c r="L41" s="270"/>
      <c r="M41" s="270"/>
      <c r="N41" s="270"/>
      <c r="O41" s="270"/>
      <c r="P41" s="270"/>
      <c r="Q41" s="270"/>
      <c r="R41" s="270"/>
      <c r="S41" s="270"/>
      <c r="T41" s="270"/>
      <c r="U41" s="270"/>
      <c r="V41" s="333"/>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row>
    <row r="42" spans="1:59" ht="16" customHeight="1" x14ac:dyDescent="0.35">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row>
    <row r="43" spans="1:59" x14ac:dyDescent="0.35">
      <c r="A43" s="270"/>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row>
    <row r="44" spans="1:59" x14ac:dyDescent="0.35">
      <c r="A44" s="270"/>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row>
    <row r="45" spans="1:59" x14ac:dyDescent="0.35">
      <c r="A45" s="270"/>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row>
    <row r="46" spans="1:59" x14ac:dyDescent="0.35">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row>
    <row r="47" spans="1:59" x14ac:dyDescent="0.35">
      <c r="A47" s="270"/>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row>
    <row r="48" spans="1:59" x14ac:dyDescent="0.35">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row>
    <row r="49" spans="1:59" x14ac:dyDescent="0.35">
      <c r="A49" s="270"/>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row>
    <row r="50" spans="1:59" x14ac:dyDescent="0.35">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row>
    <row r="51" spans="1:59" x14ac:dyDescent="0.35">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row>
    <row r="52" spans="1:59" x14ac:dyDescent="0.35">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row>
    <row r="53" spans="1:59" x14ac:dyDescent="0.35">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row>
    <row r="54" spans="1:59" x14ac:dyDescent="0.35">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row>
    <row r="55" spans="1:59" x14ac:dyDescent="0.35">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row>
    <row r="56" spans="1:59" x14ac:dyDescent="0.35">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row>
    <row r="57" spans="1:59" x14ac:dyDescent="0.35">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row>
    <row r="58" spans="1:59" x14ac:dyDescent="0.35">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row>
    <row r="59" spans="1:59" x14ac:dyDescent="0.35">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row>
    <row r="60" spans="1:59" x14ac:dyDescent="0.35">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row>
    <row r="61" spans="1:59" x14ac:dyDescent="0.35">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row>
    <row r="62" spans="1:59" x14ac:dyDescent="0.35">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row>
    <row r="63" spans="1:59" x14ac:dyDescent="0.35">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row>
    <row r="64" spans="1:59" x14ac:dyDescent="0.35">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row>
    <row r="65" spans="1:59" x14ac:dyDescent="0.35">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row>
    <row r="66" spans="1:59" x14ac:dyDescent="0.35">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row>
    <row r="67" spans="1:59" x14ac:dyDescent="0.35">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row>
    <row r="68" spans="1:59" x14ac:dyDescent="0.35">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row>
    <row r="69" spans="1:59" x14ac:dyDescent="0.35">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c r="BC69" s="270"/>
      <c r="BD69" s="270"/>
      <c r="BE69" s="270"/>
      <c r="BF69" s="270"/>
      <c r="BG69" s="270"/>
    </row>
    <row r="70" spans="1:59" x14ac:dyDescent="0.35">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c r="BA70" s="270"/>
      <c r="BB70" s="270"/>
      <c r="BC70" s="270"/>
      <c r="BD70" s="270"/>
      <c r="BE70" s="270"/>
      <c r="BF70" s="270"/>
      <c r="BG70" s="270"/>
    </row>
    <row r="71" spans="1:59" x14ac:dyDescent="0.35">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row>
    <row r="72" spans="1:59" x14ac:dyDescent="0.35">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c r="BA72" s="270"/>
      <c r="BB72" s="270"/>
      <c r="BC72" s="270"/>
      <c r="BD72" s="270"/>
      <c r="BE72" s="270"/>
      <c r="BF72" s="270"/>
      <c r="BG72" s="270"/>
    </row>
  </sheetData>
  <mergeCells count="3">
    <mergeCell ref="C9:D9"/>
    <mergeCell ref="B15:M15"/>
    <mergeCell ref="N15:U1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AC466-EED4-4EA7-8ED8-32E5C0A91E83}">
  <sheetPr>
    <tabColor rgb="FFFFC000"/>
  </sheetPr>
  <dimension ref="A1:BG72"/>
  <sheetViews>
    <sheetView workbookViewId="0">
      <selection sqref="A1:XFD1048576"/>
    </sheetView>
  </sheetViews>
  <sheetFormatPr defaultColWidth="8.7265625" defaultRowHeight="15.5" x14ac:dyDescent="0.35"/>
  <cols>
    <col min="1" max="1" width="9.453125" style="190" customWidth="1"/>
    <col min="2" max="2" width="4.81640625" style="190" customWidth="1"/>
    <col min="3" max="3" width="16.7265625" style="190" customWidth="1"/>
    <col min="4" max="4" width="8.26953125" style="190" customWidth="1"/>
    <col min="5" max="5" width="7.26953125" style="190" customWidth="1"/>
    <col min="6" max="6" width="10.453125" style="190" customWidth="1"/>
    <col min="7" max="7" width="3.1796875" style="190" customWidth="1"/>
    <col min="8" max="8" width="8.7265625" style="190"/>
    <col min="9" max="9" width="3.1796875" style="190" customWidth="1"/>
    <col min="10" max="10" width="9.453125" style="190" bestFit="1" customWidth="1"/>
    <col min="11" max="11" width="3.1796875" style="190" customWidth="1"/>
    <col min="12" max="12" width="9.81640625" style="190" bestFit="1" customWidth="1"/>
    <col min="13" max="13" width="3.1796875" style="190" customWidth="1"/>
    <col min="14" max="14" width="10.54296875" style="190" customWidth="1"/>
    <col min="15" max="17" width="3.1796875" style="190" customWidth="1"/>
    <col min="18" max="18" width="8.453125" style="190" customWidth="1"/>
    <col min="19" max="19" width="3.1796875" style="190" customWidth="1"/>
    <col min="20" max="20" width="11.26953125" style="190" customWidth="1"/>
    <col min="21" max="21" width="3.1796875" style="190" customWidth="1"/>
    <col min="22" max="22" width="20.7265625" style="190" customWidth="1"/>
    <col min="23" max="25" width="9.81640625" style="190" customWidth="1"/>
    <col min="26" max="16384" width="8.7265625" style="190"/>
  </cols>
  <sheetData>
    <row r="1" spans="1:59" s="277" customFormat="1" ht="21.5" thickTop="1" x14ac:dyDescent="0.5">
      <c r="A1" s="270"/>
      <c r="B1" s="271" t="s">
        <v>678</v>
      </c>
      <c r="C1" s="272"/>
      <c r="D1" s="272"/>
      <c r="E1" s="272"/>
      <c r="F1" s="272"/>
      <c r="G1" s="273"/>
      <c r="H1" s="272"/>
      <c r="I1" s="272"/>
      <c r="J1" s="272"/>
      <c r="K1" s="272"/>
      <c r="L1" s="272"/>
      <c r="M1" s="272"/>
      <c r="N1" s="272"/>
      <c r="O1" s="272"/>
      <c r="P1" s="272"/>
      <c r="Q1" s="272"/>
      <c r="R1" s="272"/>
      <c r="S1" s="272"/>
      <c r="T1" s="272"/>
      <c r="U1" s="274"/>
      <c r="V1" s="270"/>
      <c r="W1" s="275"/>
      <c r="X1" s="270"/>
      <c r="Y1" s="270"/>
      <c r="Z1" s="270"/>
      <c r="AA1" s="270"/>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row>
    <row r="2" spans="1:59" s="277" customFormat="1" ht="21.5" thickBot="1" x14ac:dyDescent="0.55000000000000004">
      <c r="A2" s="278" t="s">
        <v>609</v>
      </c>
      <c r="B2" s="641" t="s">
        <v>946</v>
      </c>
      <c r="C2" s="280"/>
      <c r="D2" s="280"/>
      <c r="E2" s="280"/>
      <c r="F2" s="280"/>
      <c r="G2" s="281"/>
      <c r="H2" s="280"/>
      <c r="I2" s="280"/>
      <c r="J2" s="280"/>
      <c r="K2" s="280"/>
      <c r="L2" s="280"/>
      <c r="M2" s="280"/>
      <c r="N2" s="280"/>
      <c r="O2" s="280"/>
      <c r="P2" s="280"/>
      <c r="Q2" s="280"/>
      <c r="R2" s="280"/>
      <c r="S2" s="280"/>
      <c r="T2" s="280"/>
      <c r="U2" s="280"/>
      <c r="V2" s="642"/>
      <c r="W2" s="275"/>
      <c r="X2" s="270"/>
      <c r="Y2" s="270"/>
      <c r="Z2" s="270"/>
      <c r="AA2" s="270"/>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row>
    <row r="3" spans="1:59" s="277" customFormat="1" ht="21.75" customHeight="1" x14ac:dyDescent="0.5">
      <c r="A3" s="278" t="s">
        <v>611</v>
      </c>
      <c r="B3" s="283" t="s">
        <v>680</v>
      </c>
      <c r="C3" s="284"/>
      <c r="D3" s="284"/>
      <c r="E3" s="284"/>
      <c r="F3" s="284"/>
      <c r="G3" s="285"/>
      <c r="H3" s="284"/>
      <c r="I3" s="284"/>
      <c r="J3" s="284"/>
      <c r="K3" s="284"/>
      <c r="L3" s="284"/>
      <c r="M3" s="284"/>
      <c r="N3" s="284"/>
      <c r="O3" s="284"/>
      <c r="P3" s="284"/>
      <c r="Q3" s="284"/>
      <c r="R3" s="284"/>
      <c r="S3" s="284"/>
      <c r="T3" s="284"/>
      <c r="U3" s="286"/>
      <c r="V3" s="270"/>
      <c r="W3" s="275"/>
      <c r="X3" s="270"/>
      <c r="Y3" s="270"/>
      <c r="Z3" s="270"/>
      <c r="AA3" s="270"/>
      <c r="AB3" s="276"/>
      <c r="AC3" s="276"/>
      <c r="AD3" s="276"/>
      <c r="AE3" s="276"/>
      <c r="AF3" s="276"/>
      <c r="AG3" s="276"/>
      <c r="AH3" s="276"/>
      <c r="AI3" s="276"/>
      <c r="AJ3" s="276"/>
      <c r="AK3" s="276"/>
      <c r="AL3" s="276"/>
      <c r="AM3" s="276"/>
      <c r="AN3" s="276"/>
      <c r="AO3" s="276"/>
      <c r="AP3" s="276"/>
      <c r="AQ3" s="276"/>
      <c r="AR3" s="276"/>
      <c r="AS3" s="276"/>
      <c r="AT3" s="276"/>
      <c r="AU3" s="276"/>
      <c r="AV3" s="276"/>
      <c r="AW3" s="276"/>
      <c r="AX3" s="276"/>
      <c r="AY3" s="276"/>
      <c r="AZ3" s="276"/>
      <c r="BA3" s="276"/>
      <c r="BB3" s="276"/>
      <c r="BC3" s="276"/>
      <c r="BD3" s="276"/>
      <c r="BE3" s="276"/>
      <c r="BF3" s="276"/>
      <c r="BG3" s="276"/>
    </row>
    <row r="4" spans="1:59" s="277" customFormat="1" ht="21.75" customHeight="1" x14ac:dyDescent="0.5">
      <c r="A4" s="278"/>
      <c r="B4" s="287"/>
      <c r="C4" s="288"/>
      <c r="D4" s="288"/>
      <c r="E4" s="288"/>
      <c r="F4" s="288"/>
      <c r="G4" s="289"/>
      <c r="H4" s="288"/>
      <c r="I4" s="288"/>
      <c r="J4" s="288"/>
      <c r="K4" s="288"/>
      <c r="L4" s="288"/>
      <c r="M4" s="288"/>
      <c r="N4" s="288"/>
      <c r="O4" s="288"/>
      <c r="P4" s="288"/>
      <c r="Q4" s="288"/>
      <c r="R4" s="288"/>
      <c r="S4" s="288"/>
      <c r="T4" s="288"/>
      <c r="U4" s="290"/>
      <c r="V4" s="270"/>
      <c r="W4" s="275"/>
      <c r="X4" s="270"/>
      <c r="Y4" s="270"/>
      <c r="Z4" s="270"/>
      <c r="AA4" s="270"/>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row>
    <row r="5" spans="1:59" s="277" customFormat="1" ht="21.75" customHeight="1" x14ac:dyDescent="0.5">
      <c r="A5" s="278"/>
      <c r="B5" s="291" t="s">
        <v>947</v>
      </c>
      <c r="C5" s="288"/>
      <c r="D5" s="288"/>
      <c r="E5" s="288"/>
      <c r="F5" s="288"/>
      <c r="G5" s="289"/>
      <c r="H5" s="288"/>
      <c r="I5" s="288"/>
      <c r="J5" s="288"/>
      <c r="K5" s="288"/>
      <c r="L5" s="288"/>
      <c r="M5" s="288"/>
      <c r="N5" s="288"/>
      <c r="O5" s="288"/>
      <c r="P5" s="288"/>
      <c r="Q5" s="288"/>
      <c r="R5" s="288"/>
      <c r="S5" s="288"/>
      <c r="T5" s="288"/>
      <c r="U5" s="290"/>
      <c r="V5" s="270" t="s">
        <v>275</v>
      </c>
      <c r="W5" s="275"/>
      <c r="X5" s="270"/>
      <c r="Y5" s="270"/>
      <c r="Z5" s="270"/>
      <c r="AA5" s="270"/>
      <c r="AB5" s="276"/>
      <c r="AC5" s="276"/>
      <c r="AD5" s="276"/>
      <c r="AE5" s="276"/>
      <c r="AF5" s="276"/>
      <c r="AG5" s="276"/>
      <c r="AH5" s="276"/>
      <c r="AI5" s="276"/>
      <c r="AJ5" s="276"/>
      <c r="AK5" s="276"/>
      <c r="AL5" s="276"/>
      <c r="AM5" s="276"/>
      <c r="AN5" s="276"/>
      <c r="AO5" s="276"/>
      <c r="AP5" s="276"/>
      <c r="AQ5" s="276"/>
      <c r="AR5" s="276"/>
      <c r="AS5" s="276"/>
      <c r="AT5" s="276"/>
      <c r="AU5" s="276"/>
      <c r="AV5" s="276"/>
      <c r="AW5" s="276"/>
      <c r="AX5" s="276"/>
      <c r="AY5" s="276"/>
      <c r="AZ5" s="276"/>
      <c r="BA5" s="276"/>
      <c r="BB5" s="276"/>
      <c r="BC5" s="276"/>
      <c r="BD5" s="276"/>
      <c r="BE5" s="276"/>
      <c r="BF5" s="276"/>
      <c r="BG5" s="276"/>
    </row>
    <row r="6" spans="1:59" s="277" customFormat="1" ht="21.75" customHeight="1" x14ac:dyDescent="0.5">
      <c r="A6" s="278"/>
      <c r="B6" s="291" t="s">
        <v>945</v>
      </c>
      <c r="C6" s="292"/>
      <c r="D6" s="292"/>
      <c r="E6" s="292"/>
      <c r="F6" s="292"/>
      <c r="G6" s="292"/>
      <c r="H6" s="292"/>
      <c r="I6" s="292"/>
      <c r="J6" s="292"/>
      <c r="K6" s="292"/>
      <c r="L6" s="292"/>
      <c r="M6" s="292"/>
      <c r="N6" s="292"/>
      <c r="O6" s="292"/>
      <c r="P6" s="292"/>
      <c r="Q6" s="292"/>
      <c r="R6" s="292"/>
      <c r="S6" s="292"/>
      <c r="T6" s="292"/>
      <c r="U6" s="293"/>
      <c r="V6" s="270"/>
      <c r="W6" s="270"/>
      <c r="X6" s="270"/>
      <c r="Y6" s="270"/>
      <c r="Z6" s="270"/>
      <c r="AA6" s="270"/>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row>
    <row r="7" spans="1:59" s="277" customFormat="1" ht="21.75" customHeight="1" x14ac:dyDescent="0.5">
      <c r="A7" s="278"/>
      <c r="B7" s="291" t="s">
        <v>948</v>
      </c>
      <c r="C7" s="292"/>
      <c r="D7" s="292"/>
      <c r="E7" s="292"/>
      <c r="F7" s="292"/>
      <c r="G7" s="292"/>
      <c r="H7" s="292"/>
      <c r="I7" s="292"/>
      <c r="J7" s="292"/>
      <c r="K7" s="292"/>
      <c r="L7" s="292"/>
      <c r="M7" s="292"/>
      <c r="N7" s="292"/>
      <c r="O7" s="292"/>
      <c r="P7" s="292"/>
      <c r="Q7" s="292"/>
      <c r="R7" s="292"/>
      <c r="S7" s="292"/>
      <c r="T7" s="292"/>
      <c r="U7" s="293"/>
      <c r="V7" s="270"/>
      <c r="W7" s="294"/>
      <c r="X7" s="294"/>
      <c r="Y7" s="294"/>
      <c r="Z7" s="270"/>
      <c r="AA7" s="270"/>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D7" s="276"/>
      <c r="BE7" s="276"/>
      <c r="BF7" s="276"/>
      <c r="BG7" s="276"/>
    </row>
    <row r="8" spans="1:59" s="277" customFormat="1" ht="21.75" customHeight="1" thickBot="1" x14ac:dyDescent="0.55000000000000004">
      <c r="A8" s="278"/>
      <c r="B8" s="846" t="s">
        <v>684</v>
      </c>
      <c r="C8" s="787"/>
      <c r="D8" s="787"/>
      <c r="E8" s="787"/>
      <c r="F8" s="787"/>
      <c r="G8" s="787"/>
      <c r="H8" s="787"/>
      <c r="I8" s="787"/>
      <c r="J8" s="787"/>
      <c r="K8" s="787"/>
      <c r="L8" s="787"/>
      <c r="M8" s="787"/>
      <c r="N8" s="787"/>
      <c r="O8" s="787"/>
      <c r="P8" s="787"/>
      <c r="Q8" s="787"/>
      <c r="R8" s="787"/>
      <c r="S8" s="787"/>
      <c r="T8" s="787"/>
      <c r="U8" s="847"/>
      <c r="V8" s="270"/>
      <c r="W8" s="294"/>
      <c r="X8" s="294"/>
      <c r="Y8" s="294"/>
      <c r="Z8" s="270"/>
      <c r="AA8" s="270"/>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row>
    <row r="9" spans="1:59" s="277" customFormat="1" ht="21.75" customHeight="1" x14ac:dyDescent="0.5">
      <c r="A9" s="278" t="s">
        <v>613</v>
      </c>
      <c r="B9" s="256"/>
      <c r="C9" s="1099" t="s">
        <v>621</v>
      </c>
      <c r="D9" s="1099"/>
      <c r="E9" s="207"/>
      <c r="F9" s="257" t="s">
        <v>949</v>
      </c>
      <c r="G9" s="207"/>
      <c r="H9" s="207"/>
      <c r="I9" s="207"/>
      <c r="J9" s="207"/>
      <c r="K9" s="207"/>
      <c r="L9" s="207"/>
      <c r="M9" s="207"/>
      <c r="N9" s="207"/>
      <c r="O9" s="295" t="s">
        <v>950</v>
      </c>
      <c r="P9" s="296"/>
      <c r="Q9" s="296"/>
      <c r="R9" s="297"/>
      <c r="S9" s="297"/>
      <c r="T9" s="297"/>
      <c r="U9" s="298"/>
      <c r="V9" s="278" t="s">
        <v>617</v>
      </c>
      <c r="W9" s="299" t="s">
        <v>616</v>
      </c>
      <c r="X9" s="300">
        <v>1</v>
      </c>
      <c r="Y9" s="301">
        <v>2</v>
      </c>
      <c r="Z9" s="270"/>
      <c r="AA9" s="270"/>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row>
    <row r="10" spans="1:59" s="306" customFormat="1" x14ac:dyDescent="0.45">
      <c r="A10" s="302"/>
      <c r="B10" s="195"/>
      <c r="C10" s="196">
        <f>$W$10</f>
        <v>0</v>
      </c>
      <c r="D10" s="196">
        <f>W12</f>
        <v>9100</v>
      </c>
      <c r="E10" s="196"/>
      <c r="F10" s="303" t="s">
        <v>687</v>
      </c>
      <c r="G10" s="196"/>
      <c r="H10" s="196"/>
      <c r="I10" s="196"/>
      <c r="J10" s="196"/>
      <c r="K10" s="196"/>
      <c r="L10" s="196"/>
      <c r="M10" s="196"/>
      <c r="N10" s="196"/>
      <c r="O10" s="196"/>
      <c r="P10" s="196"/>
      <c r="Q10" s="196"/>
      <c r="R10" s="196"/>
      <c r="S10" s="196"/>
      <c r="T10" s="196"/>
      <c r="U10" s="197"/>
      <c r="V10" s="304"/>
      <c r="W10" s="195">
        <v>0</v>
      </c>
      <c r="X10" s="196">
        <v>0</v>
      </c>
      <c r="Y10" s="197">
        <v>0</v>
      </c>
      <c r="Z10" s="304"/>
      <c r="AA10" s="304"/>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row>
    <row r="11" spans="1:59" s="306" customFormat="1" x14ac:dyDescent="0.45">
      <c r="A11" s="302"/>
      <c r="B11" s="195"/>
      <c r="C11" s="196">
        <f>W12</f>
        <v>9100</v>
      </c>
      <c r="D11" s="196" t="s">
        <v>688</v>
      </c>
      <c r="E11" s="196"/>
      <c r="F11" s="303" t="s">
        <v>689</v>
      </c>
      <c r="G11" s="196"/>
      <c r="H11" s="307">
        <f>$Y$12*100</f>
        <v>13.8</v>
      </c>
      <c r="I11" s="307" t="s">
        <v>690</v>
      </c>
      <c r="J11" s="196"/>
      <c r="K11" s="196"/>
      <c r="L11" s="307"/>
      <c r="M11" s="308"/>
      <c r="N11" s="196"/>
      <c r="O11" s="196"/>
      <c r="P11" s="196"/>
      <c r="Q11" s="196"/>
      <c r="R11" s="309"/>
      <c r="S11" s="196"/>
      <c r="T11" s="310"/>
      <c r="U11" s="311"/>
      <c r="V11" s="312" t="s">
        <v>619</v>
      </c>
      <c r="W11" s="195">
        <v>6396</v>
      </c>
      <c r="X11" s="213">
        <v>0</v>
      </c>
      <c r="Y11" s="214"/>
      <c r="Z11" s="304"/>
      <c r="AA11" s="304"/>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row>
    <row r="12" spans="1:59" s="306" customFormat="1" ht="16" thickBot="1" x14ac:dyDescent="0.5">
      <c r="A12" s="302"/>
      <c r="B12" s="848"/>
      <c r="C12" s="782"/>
      <c r="D12" s="782"/>
      <c r="E12" s="782"/>
      <c r="F12" s="782"/>
      <c r="G12" s="790"/>
      <c r="H12" s="791"/>
      <c r="I12" s="790"/>
      <c r="J12" s="782"/>
      <c r="K12" s="792"/>
      <c r="L12" s="793"/>
      <c r="M12" s="792"/>
      <c r="N12" s="782"/>
      <c r="O12" s="782"/>
      <c r="P12" s="794"/>
      <c r="Q12" s="782"/>
      <c r="R12" s="795"/>
      <c r="S12" s="782"/>
      <c r="T12" s="782"/>
      <c r="U12" s="849"/>
      <c r="V12" s="312" t="s">
        <v>624</v>
      </c>
      <c r="W12" s="195">
        <v>9100</v>
      </c>
      <c r="X12" s="213">
        <v>0</v>
      </c>
      <c r="Y12" s="214">
        <v>0.13800000000000001</v>
      </c>
      <c r="Z12" s="304"/>
      <c r="AA12" s="304"/>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row>
    <row r="13" spans="1:59" s="306" customFormat="1" ht="17" thickBot="1" x14ac:dyDescent="0.5">
      <c r="A13" s="278"/>
      <c r="B13" s="313"/>
      <c r="C13" s="314"/>
      <c r="D13" s="314"/>
      <c r="E13" s="315"/>
      <c r="F13" s="314"/>
      <c r="G13" s="315"/>
      <c r="H13" s="314"/>
      <c r="I13" s="315"/>
      <c r="J13" s="314"/>
      <c r="K13" s="315"/>
      <c r="L13" s="314"/>
      <c r="M13" s="315"/>
      <c r="N13" s="315"/>
      <c r="O13" s="315"/>
      <c r="P13" s="315"/>
      <c r="Q13" s="315"/>
      <c r="R13" s="315"/>
      <c r="S13" s="315"/>
      <c r="T13" s="315"/>
      <c r="U13" s="315"/>
      <c r="V13" s="312" t="s">
        <v>691</v>
      </c>
      <c r="W13" s="195">
        <v>50270</v>
      </c>
      <c r="X13" s="213">
        <v>0</v>
      </c>
      <c r="Y13" s="197"/>
      <c r="Z13" s="304"/>
      <c r="AA13" s="304"/>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row>
    <row r="14" spans="1:59" s="306" customFormat="1" ht="17.5" thickTop="1" thickBot="1" x14ac:dyDescent="0.5">
      <c r="A14" s="59"/>
      <c r="B14" s="316"/>
      <c r="C14" s="316"/>
      <c r="D14" s="316"/>
      <c r="E14" s="316"/>
      <c r="F14" s="317"/>
      <c r="G14" s="316"/>
      <c r="H14" s="316"/>
      <c r="I14" s="316"/>
      <c r="J14" s="316"/>
      <c r="K14" s="316"/>
      <c r="L14" s="316"/>
      <c r="M14" s="316"/>
      <c r="N14" s="316"/>
      <c r="O14" s="316"/>
      <c r="P14" s="316"/>
      <c r="Q14" s="316"/>
      <c r="R14" s="316"/>
      <c r="S14" s="316"/>
      <c r="T14" s="316"/>
      <c r="U14" s="316"/>
      <c r="V14" s="304"/>
      <c r="W14" s="195"/>
      <c r="X14" s="213"/>
      <c r="Y14" s="214"/>
      <c r="Z14" s="304"/>
      <c r="AA14" s="304"/>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row>
    <row r="15" spans="1:59" s="306" customFormat="1" ht="18.75" customHeight="1" thickTop="1" thickBot="1" x14ac:dyDescent="0.5">
      <c r="A15" s="278" t="s">
        <v>615</v>
      </c>
      <c r="B15" s="1100" t="s">
        <v>692</v>
      </c>
      <c r="C15" s="1101"/>
      <c r="D15" s="1101"/>
      <c r="E15" s="1101"/>
      <c r="F15" s="1101"/>
      <c r="G15" s="1101"/>
      <c r="H15" s="1101"/>
      <c r="I15" s="1101"/>
      <c r="J15" s="1101"/>
      <c r="K15" s="1101"/>
      <c r="L15" s="1101"/>
      <c r="M15" s="1102"/>
      <c r="N15" s="1103" t="s">
        <v>693</v>
      </c>
      <c r="O15" s="1104"/>
      <c r="P15" s="1104"/>
      <c r="Q15" s="1104"/>
      <c r="R15" s="1104"/>
      <c r="S15" s="1104"/>
      <c r="T15" s="1104"/>
      <c r="U15" s="1104"/>
      <c r="V15" s="643"/>
      <c r="W15" s="850" t="s">
        <v>627</v>
      </c>
      <c r="X15" s="770">
        <v>0.24099999999999999</v>
      </c>
      <c r="Y15" s="849"/>
      <c r="Z15" s="304"/>
      <c r="AA15" s="304"/>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row>
    <row r="16" spans="1:59" x14ac:dyDescent="0.35">
      <c r="A16" s="270"/>
      <c r="B16" s="318"/>
      <c r="C16" s="319" t="s">
        <v>694</v>
      </c>
      <c r="D16" s="319" t="s">
        <v>632</v>
      </c>
      <c r="E16" s="319"/>
      <c r="F16" s="320" t="s">
        <v>695</v>
      </c>
      <c r="G16" s="319"/>
      <c r="H16" s="320" t="s">
        <v>634</v>
      </c>
      <c r="I16" s="319"/>
      <c r="J16" s="320" t="s">
        <v>627</v>
      </c>
      <c r="K16" s="319"/>
      <c r="L16" s="320" t="s">
        <v>696</v>
      </c>
      <c r="M16" s="321"/>
      <c r="N16" s="322" t="s">
        <v>695</v>
      </c>
      <c r="O16" s="319"/>
      <c r="P16" s="319"/>
      <c r="Q16" s="319"/>
      <c r="R16" s="320" t="s">
        <v>634</v>
      </c>
      <c r="S16" s="319"/>
      <c r="T16" s="323" t="s">
        <v>696</v>
      </c>
      <c r="U16" s="324"/>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row>
    <row r="17" spans="1:59" ht="16" thickBot="1" x14ac:dyDescent="0.4">
      <c r="A17" s="270"/>
      <c r="B17" s="851"/>
      <c r="C17" s="798"/>
      <c r="D17" s="798"/>
      <c r="E17" s="798"/>
      <c r="F17" s="798"/>
      <c r="G17" s="798"/>
      <c r="H17" s="798"/>
      <c r="I17" s="798"/>
      <c r="J17" s="798"/>
      <c r="K17" s="798"/>
      <c r="L17" s="798"/>
      <c r="M17" s="798"/>
      <c r="N17" s="852"/>
      <c r="O17" s="798"/>
      <c r="P17" s="798"/>
      <c r="Q17" s="798"/>
      <c r="R17" s="798"/>
      <c r="S17" s="798"/>
      <c r="T17" s="798"/>
      <c r="U17" s="853"/>
      <c r="V17" s="270"/>
      <c r="W17" s="270"/>
      <c r="X17" s="325"/>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row>
    <row r="18" spans="1:59" ht="16" customHeight="1" x14ac:dyDescent="0.35">
      <c r="A18" s="270"/>
      <c r="B18" s="216"/>
      <c r="C18" s="326" t="s">
        <v>697</v>
      </c>
      <c r="D18" s="327"/>
      <c r="E18" s="328"/>
      <c r="F18" s="329"/>
      <c r="G18" s="329"/>
      <c r="H18" s="329"/>
      <c r="I18" s="329"/>
      <c r="J18" s="329"/>
      <c r="K18" s="329"/>
      <c r="L18" s="329"/>
      <c r="M18" s="329"/>
      <c r="N18" s="330"/>
      <c r="O18" s="329"/>
      <c r="P18" s="329"/>
      <c r="Q18" s="329"/>
      <c r="R18" s="329"/>
      <c r="S18" s="329"/>
      <c r="T18" s="329"/>
      <c r="U18" s="223"/>
      <c r="V18" s="270"/>
      <c r="W18" s="270"/>
      <c r="X18" s="325"/>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row>
    <row r="19" spans="1:59" ht="16" customHeight="1" x14ac:dyDescent="0.35">
      <c r="A19" s="270"/>
      <c r="B19" s="216"/>
      <c r="C19" s="331" t="s">
        <v>698</v>
      </c>
      <c r="D19" s="327"/>
      <c r="E19" s="328"/>
      <c r="F19" s="329"/>
      <c r="G19" s="329"/>
      <c r="H19" s="329"/>
      <c r="I19" s="329"/>
      <c r="J19" s="329"/>
      <c r="K19" s="329"/>
      <c r="L19" s="329"/>
      <c r="M19" s="329"/>
      <c r="N19" s="330"/>
      <c r="O19" s="329"/>
      <c r="P19" s="329"/>
      <c r="Q19" s="329"/>
      <c r="R19" s="329"/>
      <c r="S19" s="329"/>
      <c r="T19" s="329"/>
      <c r="U19" s="223"/>
      <c r="V19" s="270"/>
      <c r="W19" s="332" t="s">
        <v>699</v>
      </c>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row>
    <row r="20" spans="1:59" ht="16" customHeight="1" x14ac:dyDescent="0.35">
      <c r="A20" s="270"/>
      <c r="B20" s="241"/>
      <c r="C20" s="331" t="s">
        <v>700</v>
      </c>
      <c r="D20" s="331">
        <v>6</v>
      </c>
      <c r="E20" s="328"/>
      <c r="F20" s="329">
        <f>SUM([20]Sheet2!E22*195/228)</f>
        <v>19446.11842105263</v>
      </c>
      <c r="G20" s="329"/>
      <c r="H20" s="329">
        <f t="shared" ref="H20:H39" si="0">IF($F20&gt;$W$12,($F20-$W$12)*$Y$12,"ERROR")</f>
        <v>1427.764342105263</v>
      </c>
      <c r="I20" s="329"/>
      <c r="J20" s="329">
        <f t="shared" ref="J20:J39" si="1">$F20*$X$15</f>
        <v>4686.5145394736837</v>
      </c>
      <c r="K20" s="329"/>
      <c r="L20" s="329">
        <f t="shared" ref="L20:L39" si="2">F20+ROUND(H20,0)+ROUND(J20,0)</f>
        <v>25561.11842105263</v>
      </c>
      <c r="M20" s="329"/>
      <c r="N20" s="330">
        <f t="shared" ref="N20:N39" si="3">F20</f>
        <v>19446.11842105263</v>
      </c>
      <c r="O20" s="329"/>
      <c r="P20" s="329"/>
      <c r="Q20" s="329"/>
      <c r="R20" s="329">
        <f t="shared" ref="R20:R39" si="4">IF($N20&gt;$W$12,($N20-$W$12)*$Y$12,"ERROR")</f>
        <v>1427.764342105263</v>
      </c>
      <c r="S20" s="329"/>
      <c r="T20" s="329">
        <f t="shared" ref="T20:T39" si="5">SUM(N20:R20)</f>
        <v>20873.882763157893</v>
      </c>
      <c r="U20" s="223"/>
      <c r="V20" s="333"/>
      <c r="W20" s="332" t="s">
        <v>638</v>
      </c>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row>
    <row r="21" spans="1:59" ht="16" customHeight="1" x14ac:dyDescent="0.35">
      <c r="A21" s="270"/>
      <c r="B21" s="241"/>
      <c r="C21" s="331" t="s">
        <v>697</v>
      </c>
      <c r="D21" s="331">
        <v>7</v>
      </c>
      <c r="E21" s="328"/>
      <c r="F21" s="329">
        <f>SUM([20]Sheet2!E23*195/228)</f>
        <v>19762.565789473683</v>
      </c>
      <c r="G21" s="329"/>
      <c r="H21" s="329">
        <f t="shared" si="0"/>
        <v>1471.4340789473683</v>
      </c>
      <c r="I21" s="329"/>
      <c r="J21" s="329">
        <f t="shared" si="1"/>
        <v>4762.7783552631572</v>
      </c>
      <c r="K21" s="329"/>
      <c r="L21" s="329">
        <f t="shared" si="2"/>
        <v>25996.565789473683</v>
      </c>
      <c r="M21" s="329"/>
      <c r="N21" s="330">
        <f t="shared" si="3"/>
        <v>19762.565789473683</v>
      </c>
      <c r="O21" s="329"/>
      <c r="P21" s="329"/>
      <c r="Q21" s="329"/>
      <c r="R21" s="329">
        <f t="shared" si="4"/>
        <v>1471.4340789473683</v>
      </c>
      <c r="S21" s="329"/>
      <c r="T21" s="329">
        <f t="shared" si="5"/>
        <v>21233.999868421051</v>
      </c>
      <c r="U21" s="223"/>
      <c r="V21" s="333"/>
      <c r="W21" s="332"/>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row>
    <row r="22" spans="1:59" ht="16" customHeight="1" x14ac:dyDescent="0.35">
      <c r="A22" s="270"/>
      <c r="B22" s="241"/>
      <c r="C22" s="331" t="s">
        <v>697</v>
      </c>
      <c r="D22" s="331">
        <v>8</v>
      </c>
      <c r="E22" s="328"/>
      <c r="F22" s="329">
        <f>SUM([20]Sheet2!E24*195/228)</f>
        <v>20116.644736842107</v>
      </c>
      <c r="G22" s="329"/>
      <c r="H22" s="329">
        <f t="shared" si="0"/>
        <v>1520.2969736842108</v>
      </c>
      <c r="I22" s="329"/>
      <c r="J22" s="329">
        <f t="shared" si="1"/>
        <v>4848.1113815789477</v>
      </c>
      <c r="K22" s="329"/>
      <c r="L22" s="329">
        <f t="shared" si="2"/>
        <v>26484.644736842107</v>
      </c>
      <c r="M22" s="329"/>
      <c r="N22" s="330">
        <f t="shared" si="3"/>
        <v>20116.644736842107</v>
      </c>
      <c r="O22" s="329"/>
      <c r="P22" s="329"/>
      <c r="Q22" s="329"/>
      <c r="R22" s="329">
        <f t="shared" si="4"/>
        <v>1520.2969736842108</v>
      </c>
      <c r="S22" s="329"/>
      <c r="T22" s="329">
        <f t="shared" si="5"/>
        <v>21636.941710526316</v>
      </c>
      <c r="U22" s="223"/>
      <c r="V22" s="333"/>
      <c r="W22" s="332" t="s">
        <v>639</v>
      </c>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row>
    <row r="23" spans="1:59" ht="16" customHeight="1" x14ac:dyDescent="0.35">
      <c r="A23" s="270"/>
      <c r="B23" s="241"/>
      <c r="C23" s="334" t="s">
        <v>697</v>
      </c>
      <c r="D23" s="334">
        <v>9</v>
      </c>
      <c r="E23" s="335"/>
      <c r="F23" s="336">
        <f>SUM([20]Sheet2!E25*195/228)</f>
        <v>20434.802631578947</v>
      </c>
      <c r="G23" s="336"/>
      <c r="H23" s="336">
        <f t="shared" si="0"/>
        <v>1564.2027631578947</v>
      </c>
      <c r="I23" s="336"/>
      <c r="J23" s="336">
        <f t="shared" si="1"/>
        <v>4924.787434210526</v>
      </c>
      <c r="K23" s="336"/>
      <c r="L23" s="863">
        <f t="shared" si="2"/>
        <v>26923.802631578947</v>
      </c>
      <c r="M23" s="336"/>
      <c r="N23" s="337">
        <f t="shared" si="3"/>
        <v>20434.802631578947</v>
      </c>
      <c r="O23" s="336"/>
      <c r="P23" s="336"/>
      <c r="Q23" s="336"/>
      <c r="R23" s="336">
        <f t="shared" si="4"/>
        <v>1564.2027631578947</v>
      </c>
      <c r="S23" s="336"/>
      <c r="T23" s="336">
        <f t="shared" si="5"/>
        <v>21999.00539473684</v>
      </c>
      <c r="U23" s="223"/>
      <c r="V23" s="270"/>
      <c r="W23" s="332" t="s">
        <v>640</v>
      </c>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row>
    <row r="24" spans="1:59" ht="16" customHeight="1" x14ac:dyDescent="0.35">
      <c r="A24" s="270"/>
      <c r="B24" s="241"/>
      <c r="C24" s="331" t="s">
        <v>701</v>
      </c>
      <c r="D24" s="331">
        <v>12</v>
      </c>
      <c r="E24" s="328"/>
      <c r="F24" s="329">
        <f>SUM([20]Sheet2!E28*195/228)</f>
        <v>21483.355263157893</v>
      </c>
      <c r="G24" s="329"/>
      <c r="H24" s="329">
        <f t="shared" si="0"/>
        <v>1708.9030263157895</v>
      </c>
      <c r="I24" s="329"/>
      <c r="J24" s="329">
        <f t="shared" si="1"/>
        <v>5177.4886184210518</v>
      </c>
      <c r="K24" s="329"/>
      <c r="L24" s="329">
        <f t="shared" si="2"/>
        <v>28369.355263157893</v>
      </c>
      <c r="M24" s="329"/>
      <c r="N24" s="330">
        <f t="shared" si="3"/>
        <v>21483.355263157893</v>
      </c>
      <c r="O24" s="329"/>
      <c r="P24" s="329"/>
      <c r="Q24" s="329"/>
      <c r="R24" s="329">
        <f t="shared" si="4"/>
        <v>1708.9030263157895</v>
      </c>
      <c r="S24" s="329"/>
      <c r="T24" s="329">
        <f t="shared" si="5"/>
        <v>23192.258289473684</v>
      </c>
      <c r="U24" s="223"/>
      <c r="V24" s="333"/>
      <c r="W24" s="332"/>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row>
    <row r="25" spans="1:59" ht="16" customHeight="1" x14ac:dyDescent="0.35">
      <c r="A25" s="270"/>
      <c r="B25" s="241"/>
      <c r="C25" s="331" t="s">
        <v>702</v>
      </c>
      <c r="D25" s="331">
        <v>13</v>
      </c>
      <c r="E25" s="328"/>
      <c r="F25" s="329">
        <f>SUM([20]Sheet2!E29*195/228)</f>
        <v>22203.486842105263</v>
      </c>
      <c r="G25" s="329"/>
      <c r="H25" s="329">
        <f t="shared" si="0"/>
        <v>1808.2811842105266</v>
      </c>
      <c r="I25" s="329"/>
      <c r="J25" s="329">
        <f t="shared" si="1"/>
        <v>5351.0403289473679</v>
      </c>
      <c r="K25" s="329"/>
      <c r="L25" s="329">
        <f t="shared" si="2"/>
        <v>29362.486842105263</v>
      </c>
      <c r="M25" s="329"/>
      <c r="N25" s="330">
        <f t="shared" si="3"/>
        <v>22203.486842105263</v>
      </c>
      <c r="O25" s="329"/>
      <c r="P25" s="329"/>
      <c r="Q25" s="329"/>
      <c r="R25" s="329">
        <f t="shared" si="4"/>
        <v>1808.2811842105266</v>
      </c>
      <c r="S25" s="329"/>
      <c r="T25" s="329">
        <f t="shared" si="5"/>
        <v>24011.768026315789</v>
      </c>
      <c r="U25" s="223"/>
      <c r="V25" s="333"/>
      <c r="W25" s="332" t="s">
        <v>644</v>
      </c>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row>
    <row r="26" spans="1:59" ht="16" customHeight="1" x14ac:dyDescent="0.35">
      <c r="A26" s="270"/>
      <c r="B26" s="241"/>
      <c r="C26" s="331" t="s">
        <v>697</v>
      </c>
      <c r="D26" s="331">
        <v>14</v>
      </c>
      <c r="E26" s="328"/>
      <c r="F26" s="329">
        <f>SUM([20]Sheet2!E30*195/228)</f>
        <v>22992.894736842107</v>
      </c>
      <c r="G26" s="329"/>
      <c r="H26" s="329">
        <f t="shared" si="0"/>
        <v>1917.2194736842109</v>
      </c>
      <c r="I26" s="329"/>
      <c r="J26" s="329">
        <f t="shared" si="1"/>
        <v>5541.2876315789472</v>
      </c>
      <c r="K26" s="329"/>
      <c r="L26" s="329">
        <f t="shared" si="2"/>
        <v>30450.894736842107</v>
      </c>
      <c r="M26" s="338"/>
      <c r="N26" s="329">
        <f t="shared" si="3"/>
        <v>22992.894736842107</v>
      </c>
      <c r="O26" s="329"/>
      <c r="P26" s="329"/>
      <c r="Q26" s="329"/>
      <c r="R26" s="329">
        <f t="shared" si="4"/>
        <v>1917.2194736842109</v>
      </c>
      <c r="S26" s="329"/>
      <c r="T26" s="329">
        <f t="shared" si="5"/>
        <v>24910.114210526317</v>
      </c>
      <c r="U26" s="223"/>
      <c r="V26" s="333"/>
      <c r="W26" s="332" t="s">
        <v>721</v>
      </c>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row>
    <row r="27" spans="1:59" ht="16" customHeight="1" x14ac:dyDescent="0.35">
      <c r="A27" s="270"/>
      <c r="B27" s="241"/>
      <c r="C27" s="334" t="s">
        <v>697</v>
      </c>
      <c r="D27" s="334">
        <v>15</v>
      </c>
      <c r="E27" s="335"/>
      <c r="F27" s="336">
        <f>SUM([20]Sheet2!E31*195/228)</f>
        <v>23778.88157894737</v>
      </c>
      <c r="G27" s="336"/>
      <c r="H27" s="336">
        <f t="shared" si="0"/>
        <v>2025.6856578947372</v>
      </c>
      <c r="I27" s="336"/>
      <c r="J27" s="336">
        <f t="shared" si="1"/>
        <v>5730.7104605263157</v>
      </c>
      <c r="K27" s="336"/>
      <c r="L27" s="336">
        <f t="shared" si="2"/>
        <v>31535.88157894737</v>
      </c>
      <c r="M27" s="336"/>
      <c r="N27" s="337">
        <f t="shared" si="3"/>
        <v>23778.88157894737</v>
      </c>
      <c r="O27" s="336"/>
      <c r="P27" s="336"/>
      <c r="Q27" s="336"/>
      <c r="R27" s="336">
        <f t="shared" si="4"/>
        <v>2025.6856578947372</v>
      </c>
      <c r="S27" s="336"/>
      <c r="T27" s="336">
        <f t="shared" si="5"/>
        <v>25804.567236842107</v>
      </c>
      <c r="U27" s="223"/>
      <c r="V27" s="333"/>
      <c r="W27" s="332"/>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row>
    <row r="28" spans="1:59" ht="16" customHeight="1" x14ac:dyDescent="0.35">
      <c r="A28" s="270"/>
      <c r="B28" s="241"/>
      <c r="C28" s="331" t="s">
        <v>703</v>
      </c>
      <c r="D28" s="331">
        <v>15</v>
      </c>
      <c r="E28" s="328"/>
      <c r="F28" s="329">
        <f>SUM([20]Sheet2!E31*195/228)</f>
        <v>23778.88157894737</v>
      </c>
      <c r="G28" s="329"/>
      <c r="H28" s="329">
        <f t="shared" si="0"/>
        <v>2025.6856578947372</v>
      </c>
      <c r="I28" s="329"/>
      <c r="J28" s="329">
        <f t="shared" si="1"/>
        <v>5730.7104605263157</v>
      </c>
      <c r="K28" s="329"/>
      <c r="L28" s="329">
        <f t="shared" si="2"/>
        <v>31535.88157894737</v>
      </c>
      <c r="M28" s="329"/>
      <c r="N28" s="330">
        <f t="shared" si="3"/>
        <v>23778.88157894737</v>
      </c>
      <c r="O28" s="329"/>
      <c r="P28" s="329"/>
      <c r="Q28" s="329"/>
      <c r="R28" s="329">
        <f t="shared" si="4"/>
        <v>2025.6856578947372</v>
      </c>
      <c r="S28" s="329"/>
      <c r="T28" s="329">
        <f t="shared" si="5"/>
        <v>25804.567236842107</v>
      </c>
      <c r="U28" s="223"/>
      <c r="V28" s="333"/>
      <c r="W28" s="332" t="s">
        <v>647</v>
      </c>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row>
    <row r="29" spans="1:59" ht="16" customHeight="1" x14ac:dyDescent="0.35">
      <c r="A29" s="270"/>
      <c r="B29" s="241"/>
      <c r="C29" s="331" t="s">
        <v>704</v>
      </c>
      <c r="D29" s="331">
        <v>16</v>
      </c>
      <c r="E29" s="328"/>
      <c r="F29" s="329">
        <f>SUM([20]Sheet2!E32*195/228)</f>
        <v>24468.223684210527</v>
      </c>
      <c r="G29" s="329"/>
      <c r="H29" s="329">
        <f t="shared" si="0"/>
        <v>2120.8148684210528</v>
      </c>
      <c r="I29" s="329"/>
      <c r="J29" s="329">
        <f t="shared" si="1"/>
        <v>5896.8419078947363</v>
      </c>
      <c r="K29" s="329"/>
      <c r="L29" s="329">
        <f t="shared" si="2"/>
        <v>32486.223684210527</v>
      </c>
      <c r="M29" s="329"/>
      <c r="N29" s="330">
        <f t="shared" si="3"/>
        <v>24468.223684210527</v>
      </c>
      <c r="O29" s="329"/>
      <c r="P29" s="329"/>
      <c r="Q29" s="329"/>
      <c r="R29" s="329">
        <f t="shared" si="4"/>
        <v>2120.8148684210528</v>
      </c>
      <c r="S29" s="329"/>
      <c r="T29" s="329">
        <f t="shared" si="5"/>
        <v>26589.03855263158</v>
      </c>
      <c r="U29" s="223"/>
      <c r="V29" s="333"/>
      <c r="W29" s="332" t="s">
        <v>649</v>
      </c>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row>
    <row r="30" spans="1:59" ht="16" customHeight="1" x14ac:dyDescent="0.35">
      <c r="A30" s="270"/>
      <c r="B30" s="241"/>
      <c r="C30" s="331" t="s">
        <v>705</v>
      </c>
      <c r="D30" s="331">
        <v>17</v>
      </c>
      <c r="E30" s="328"/>
      <c r="F30" s="329">
        <f>SUM([20]Sheet2!E33*195/228)</f>
        <v>25155.855263157893</v>
      </c>
      <c r="G30" s="329"/>
      <c r="H30" s="329">
        <f t="shared" si="0"/>
        <v>2215.7080263157895</v>
      </c>
      <c r="I30" s="329"/>
      <c r="J30" s="329">
        <f t="shared" si="1"/>
        <v>6062.561118421052</v>
      </c>
      <c r="K30" s="329"/>
      <c r="L30" s="329">
        <f t="shared" si="2"/>
        <v>33434.855263157893</v>
      </c>
      <c r="M30" s="329"/>
      <c r="N30" s="330">
        <f t="shared" si="3"/>
        <v>25155.855263157893</v>
      </c>
      <c r="O30" s="329"/>
      <c r="P30" s="329"/>
      <c r="Q30" s="329"/>
      <c r="R30" s="329">
        <f t="shared" si="4"/>
        <v>2215.7080263157895</v>
      </c>
      <c r="S30" s="329"/>
      <c r="T30" s="329">
        <f t="shared" si="5"/>
        <v>27371.563289473685</v>
      </c>
      <c r="U30" s="223"/>
      <c r="V30" s="333"/>
      <c r="W30" s="332" t="s">
        <v>722</v>
      </c>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row>
    <row r="31" spans="1:59" ht="16" customHeight="1" x14ac:dyDescent="0.35">
      <c r="A31" s="270"/>
      <c r="B31" s="241"/>
      <c r="C31" s="334" t="s">
        <v>697</v>
      </c>
      <c r="D31" s="334">
        <v>18</v>
      </c>
      <c r="E31" s="335"/>
      <c r="F31" s="336">
        <f>SUM([20]Sheet2!E34*195/228)</f>
        <v>25911.052631578947</v>
      </c>
      <c r="G31" s="336"/>
      <c r="H31" s="336">
        <f t="shared" si="0"/>
        <v>2319.9252631578947</v>
      </c>
      <c r="I31" s="336"/>
      <c r="J31" s="336">
        <f t="shared" si="1"/>
        <v>6244.5636842105259</v>
      </c>
      <c r="K31" s="336"/>
      <c r="L31" s="336">
        <f t="shared" si="2"/>
        <v>34476.052631578947</v>
      </c>
      <c r="M31" s="336"/>
      <c r="N31" s="337">
        <f t="shared" si="3"/>
        <v>25911.052631578947</v>
      </c>
      <c r="O31" s="336"/>
      <c r="P31" s="336"/>
      <c r="Q31" s="336"/>
      <c r="R31" s="336">
        <f t="shared" si="4"/>
        <v>2319.9252631578947</v>
      </c>
      <c r="S31" s="336"/>
      <c r="T31" s="336">
        <f t="shared" si="5"/>
        <v>28230.97789473684</v>
      </c>
      <c r="U31" s="223"/>
      <c r="V31" s="333"/>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row>
    <row r="32" spans="1:59" ht="16" customHeight="1" x14ac:dyDescent="0.35">
      <c r="A32" s="270"/>
      <c r="B32" s="241"/>
      <c r="C32" s="331" t="s">
        <v>706</v>
      </c>
      <c r="D32" s="331">
        <v>18</v>
      </c>
      <c r="E32" s="328"/>
      <c r="F32" s="329">
        <f>SUM([20]Sheet2!E34*195/228)</f>
        <v>25911.052631578947</v>
      </c>
      <c r="G32" s="329"/>
      <c r="H32" s="329">
        <f t="shared" si="0"/>
        <v>2319.9252631578947</v>
      </c>
      <c r="I32" s="329"/>
      <c r="J32" s="329">
        <f t="shared" si="1"/>
        <v>6244.5636842105259</v>
      </c>
      <c r="K32" s="329"/>
      <c r="L32" s="329">
        <f>F32+ROUND(H32,0)+ROUND(J32,0)</f>
        <v>34476.052631578947</v>
      </c>
      <c r="M32" s="329"/>
      <c r="N32" s="330">
        <f>F32</f>
        <v>25911.052631578947</v>
      </c>
      <c r="O32" s="329"/>
      <c r="P32" s="329"/>
      <c r="Q32" s="329"/>
      <c r="R32" s="329">
        <f t="shared" si="4"/>
        <v>2319.9252631578947</v>
      </c>
      <c r="S32" s="329"/>
      <c r="T32" s="329">
        <f>SUM(N32:R32)</f>
        <v>28230.97789473684</v>
      </c>
      <c r="U32" s="223"/>
      <c r="V32" s="333"/>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270"/>
      <c r="BE32" s="270"/>
      <c r="BF32" s="270"/>
      <c r="BG32" s="270"/>
    </row>
    <row r="33" spans="1:59" ht="16" customHeight="1" x14ac:dyDescent="0.35">
      <c r="A33" s="270"/>
      <c r="B33" s="241"/>
      <c r="C33" s="331" t="s">
        <v>707</v>
      </c>
      <c r="D33" s="331">
        <v>19</v>
      </c>
      <c r="E33" s="328"/>
      <c r="F33" s="329">
        <f>SUM([20]Sheet2!E35*195/228)</f>
        <v>26602.105263157893</v>
      </c>
      <c r="G33" s="329"/>
      <c r="H33" s="329">
        <f t="shared" si="0"/>
        <v>2415.2905263157895</v>
      </c>
      <c r="I33" s="329"/>
      <c r="J33" s="329">
        <f t="shared" si="1"/>
        <v>6411.1073684210523</v>
      </c>
      <c r="K33" s="329"/>
      <c r="L33" s="329">
        <f>F33+ROUND(H33,0)+ROUND(J33,0)</f>
        <v>35428.105263157893</v>
      </c>
      <c r="M33" s="329"/>
      <c r="N33" s="330">
        <f>F33</f>
        <v>26602.105263157893</v>
      </c>
      <c r="O33" s="329"/>
      <c r="P33" s="329"/>
      <c r="Q33" s="329"/>
      <c r="R33" s="329">
        <f t="shared" si="4"/>
        <v>2415.2905263157895</v>
      </c>
      <c r="S33" s="329"/>
      <c r="T33" s="329">
        <f>SUM(N33:R33)</f>
        <v>29017.395789473681</v>
      </c>
      <c r="U33" s="223"/>
      <c r="V33" s="333"/>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row>
    <row r="34" spans="1:59" ht="16" customHeight="1" x14ac:dyDescent="0.35">
      <c r="A34" s="270"/>
      <c r="B34" s="241"/>
      <c r="C34" s="331" t="s">
        <v>708</v>
      </c>
      <c r="D34" s="331">
        <v>20</v>
      </c>
      <c r="E34" s="328"/>
      <c r="F34" s="329">
        <f>SUM([20]Sheet2!E36*195/228)</f>
        <v>27423.157894736843</v>
      </c>
      <c r="G34" s="329"/>
      <c r="H34" s="329">
        <f t="shared" si="0"/>
        <v>2528.5957894736848</v>
      </c>
      <c r="I34" s="329"/>
      <c r="J34" s="329">
        <f t="shared" si="1"/>
        <v>6608.9810526315787</v>
      </c>
      <c r="K34" s="329"/>
      <c r="L34" s="329">
        <f>F34+ROUND(H34,0)+ROUND(J34,0)</f>
        <v>36561.15789473684</v>
      </c>
      <c r="M34" s="329"/>
      <c r="N34" s="330">
        <f>F34</f>
        <v>27423.157894736843</v>
      </c>
      <c r="O34" s="329"/>
      <c r="P34" s="329"/>
      <c r="Q34" s="329"/>
      <c r="R34" s="329">
        <f t="shared" si="4"/>
        <v>2528.5957894736848</v>
      </c>
      <c r="S34" s="329"/>
      <c r="T34" s="329">
        <f>SUM(N34:R34)</f>
        <v>29951.753684210529</v>
      </c>
      <c r="U34" s="223"/>
      <c r="V34" s="333"/>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row>
    <row r="35" spans="1:59" ht="16" customHeight="1" x14ac:dyDescent="0.35">
      <c r="A35" s="270"/>
      <c r="B35" s="241"/>
      <c r="C35" s="334" t="s">
        <v>697</v>
      </c>
      <c r="D35" s="334">
        <v>21</v>
      </c>
      <c r="E35" s="335"/>
      <c r="F35" s="336">
        <f>SUM([20]Sheet2!E37*195/228)</f>
        <v>28244.21052631579</v>
      </c>
      <c r="G35" s="336"/>
      <c r="H35" s="336">
        <f t="shared" si="0"/>
        <v>2641.9010526315792</v>
      </c>
      <c r="I35" s="336"/>
      <c r="J35" s="336">
        <f t="shared" si="1"/>
        <v>6806.854736842105</v>
      </c>
      <c r="K35" s="336"/>
      <c r="L35" s="336">
        <f>F35+ROUND(H35,0)+ROUND(J35,0)</f>
        <v>37693.210526315786</v>
      </c>
      <c r="M35" s="336"/>
      <c r="N35" s="337">
        <f>F35</f>
        <v>28244.21052631579</v>
      </c>
      <c r="O35" s="336"/>
      <c r="P35" s="336"/>
      <c r="Q35" s="336"/>
      <c r="R35" s="336">
        <f t="shared" si="4"/>
        <v>2641.9010526315792</v>
      </c>
      <c r="S35" s="336"/>
      <c r="T35" s="336">
        <f>SUM(N35:R35)</f>
        <v>30886.11157894737</v>
      </c>
      <c r="U35" s="223"/>
      <c r="V35" s="333"/>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row>
    <row r="36" spans="1:59" ht="16" customHeight="1" x14ac:dyDescent="0.35">
      <c r="A36" s="270"/>
      <c r="B36" s="241"/>
      <c r="C36" s="331" t="s">
        <v>709</v>
      </c>
      <c r="D36" s="331">
        <v>21</v>
      </c>
      <c r="E36" s="328"/>
      <c r="F36" s="329">
        <f>SUM([20]Sheet2!E37*195/225)</f>
        <v>28620.799999999999</v>
      </c>
      <c r="G36" s="329"/>
      <c r="H36" s="329">
        <f t="shared" si="0"/>
        <v>2693.8704000000002</v>
      </c>
      <c r="I36" s="329"/>
      <c r="J36" s="329">
        <f t="shared" si="1"/>
        <v>6897.6127999999999</v>
      </c>
      <c r="K36" s="329"/>
      <c r="L36" s="329">
        <f t="shared" si="2"/>
        <v>38212.800000000003</v>
      </c>
      <c r="M36" s="329"/>
      <c r="N36" s="330">
        <f t="shared" si="3"/>
        <v>28620.799999999999</v>
      </c>
      <c r="O36" s="329"/>
      <c r="P36" s="329"/>
      <c r="Q36" s="329"/>
      <c r="R36" s="329">
        <f t="shared" si="4"/>
        <v>2693.8704000000002</v>
      </c>
      <c r="S36" s="329"/>
      <c r="T36" s="329">
        <f t="shared" si="5"/>
        <v>31314.670399999999</v>
      </c>
      <c r="U36" s="223"/>
      <c r="V36" s="333"/>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row>
    <row r="37" spans="1:59" ht="16" customHeight="1" x14ac:dyDescent="0.35">
      <c r="A37" s="270"/>
      <c r="B37" s="241"/>
      <c r="C37" s="331" t="s">
        <v>710</v>
      </c>
      <c r="D37" s="331">
        <v>22</v>
      </c>
      <c r="E37" s="328"/>
      <c r="F37" s="329">
        <f>SUM([20]Sheet2!E38*195/225)</f>
        <v>29721.466666666667</v>
      </c>
      <c r="G37" s="329"/>
      <c r="H37" s="329">
        <f t="shared" si="0"/>
        <v>2845.7624000000005</v>
      </c>
      <c r="I37" s="329"/>
      <c r="J37" s="329">
        <f t="shared" si="1"/>
        <v>7162.8734666666669</v>
      </c>
      <c r="K37" s="329"/>
      <c r="L37" s="329">
        <f t="shared" si="2"/>
        <v>39730.466666666667</v>
      </c>
      <c r="M37" s="329"/>
      <c r="N37" s="330">
        <f t="shared" si="3"/>
        <v>29721.466666666667</v>
      </c>
      <c r="O37" s="329"/>
      <c r="P37" s="329"/>
      <c r="Q37" s="329"/>
      <c r="R37" s="329">
        <f t="shared" si="4"/>
        <v>2845.7624000000005</v>
      </c>
      <c r="S37" s="329"/>
      <c r="T37" s="329">
        <f t="shared" si="5"/>
        <v>32567.229066666667</v>
      </c>
      <c r="U37" s="223"/>
      <c r="V37" s="333"/>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row>
    <row r="38" spans="1:59" ht="16" customHeight="1" x14ac:dyDescent="0.35">
      <c r="A38" s="270"/>
      <c r="B38" s="241"/>
      <c r="C38" s="331" t="s">
        <v>711</v>
      </c>
      <c r="D38" s="331">
        <v>23</v>
      </c>
      <c r="E38" s="328"/>
      <c r="F38" s="329">
        <f>SUM([20]Sheet2!E39*195/225)</f>
        <v>30719.866666666665</v>
      </c>
      <c r="G38" s="329"/>
      <c r="H38" s="329">
        <f t="shared" si="0"/>
        <v>2983.5416</v>
      </c>
      <c r="I38" s="329"/>
      <c r="J38" s="329">
        <f t="shared" si="1"/>
        <v>7403.4878666666664</v>
      </c>
      <c r="K38" s="329"/>
      <c r="L38" s="329">
        <f>F38+ROUND(H38,0)+ROUND(J38,0)</f>
        <v>41106.866666666669</v>
      </c>
      <c r="M38" s="329"/>
      <c r="N38" s="330">
        <f>F38</f>
        <v>30719.866666666665</v>
      </c>
      <c r="O38" s="329"/>
      <c r="P38" s="329"/>
      <c r="Q38" s="329"/>
      <c r="R38" s="329">
        <f t="shared" si="4"/>
        <v>2983.5416</v>
      </c>
      <c r="S38" s="329"/>
      <c r="T38" s="329">
        <f>SUM(N38:R38)</f>
        <v>33703.408266666665</v>
      </c>
      <c r="U38" s="223"/>
      <c r="V38" s="333"/>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row>
    <row r="39" spans="1:59" ht="16" customHeight="1" x14ac:dyDescent="0.35">
      <c r="A39" s="270"/>
      <c r="B39" s="241"/>
      <c r="C39" s="331" t="s">
        <v>697</v>
      </c>
      <c r="D39" s="331">
        <v>24</v>
      </c>
      <c r="E39" s="328"/>
      <c r="F39" s="329">
        <f>SUM([20]Sheet2!E40*195/225)</f>
        <v>31761.599999999999</v>
      </c>
      <c r="G39" s="329"/>
      <c r="H39" s="329">
        <f t="shared" si="0"/>
        <v>3127.3008</v>
      </c>
      <c r="I39" s="329"/>
      <c r="J39" s="329">
        <f t="shared" si="1"/>
        <v>7654.5455999999995</v>
      </c>
      <c r="K39" s="329"/>
      <c r="L39" s="329">
        <f t="shared" si="2"/>
        <v>42543.6</v>
      </c>
      <c r="M39" s="329"/>
      <c r="N39" s="330">
        <f t="shared" si="3"/>
        <v>31761.599999999999</v>
      </c>
      <c r="O39" s="329"/>
      <c r="P39" s="329"/>
      <c r="Q39" s="329"/>
      <c r="R39" s="329">
        <f t="shared" si="4"/>
        <v>3127.3008</v>
      </c>
      <c r="S39" s="329"/>
      <c r="T39" s="329">
        <f t="shared" si="5"/>
        <v>34888.900799999996</v>
      </c>
      <c r="U39" s="223"/>
      <c r="V39" s="333"/>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row>
    <row r="40" spans="1:59" ht="16" thickBot="1" x14ac:dyDescent="0.4">
      <c r="A40" s="270"/>
      <c r="B40" s="854"/>
      <c r="C40" s="777"/>
      <c r="D40" s="777"/>
      <c r="E40" s="810"/>
      <c r="F40" s="779"/>
      <c r="G40" s="779"/>
      <c r="H40" s="779"/>
      <c r="I40" s="779"/>
      <c r="J40" s="779"/>
      <c r="K40" s="779"/>
      <c r="L40" s="779"/>
      <c r="M40" s="779"/>
      <c r="N40" s="855"/>
      <c r="O40" s="779"/>
      <c r="P40" s="779"/>
      <c r="Q40" s="779"/>
      <c r="R40" s="779"/>
      <c r="S40" s="779"/>
      <c r="T40" s="779"/>
      <c r="U40" s="856"/>
      <c r="V40" s="333"/>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row>
    <row r="41" spans="1:59" ht="16" customHeight="1" x14ac:dyDescent="0.35">
      <c r="A41" s="270"/>
      <c r="B41" s="270"/>
      <c r="C41" s="270"/>
      <c r="D41" s="270"/>
      <c r="E41" s="270"/>
      <c r="F41" s="270"/>
      <c r="G41" s="270"/>
      <c r="H41" s="270"/>
      <c r="I41" s="270"/>
      <c r="J41" s="270"/>
      <c r="K41" s="270"/>
      <c r="L41" s="270"/>
      <c r="M41" s="270"/>
      <c r="N41" s="270"/>
      <c r="O41" s="270"/>
      <c r="P41" s="270"/>
      <c r="Q41" s="270"/>
      <c r="R41" s="270"/>
      <c r="S41" s="270"/>
      <c r="T41" s="270"/>
      <c r="U41" s="270"/>
      <c r="V41" s="333"/>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row>
    <row r="42" spans="1:59" ht="16" customHeight="1" x14ac:dyDescent="0.35">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row>
    <row r="43" spans="1:59" x14ac:dyDescent="0.35">
      <c r="A43" s="270"/>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row>
    <row r="44" spans="1:59" x14ac:dyDescent="0.35">
      <c r="A44" s="270"/>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row>
    <row r="45" spans="1:59" x14ac:dyDescent="0.35">
      <c r="A45" s="270"/>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row>
    <row r="46" spans="1:59" x14ac:dyDescent="0.35">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row>
    <row r="47" spans="1:59" x14ac:dyDescent="0.35">
      <c r="A47" s="270"/>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row>
    <row r="48" spans="1:59" x14ac:dyDescent="0.35">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row>
    <row r="49" spans="1:59" x14ac:dyDescent="0.35">
      <c r="A49" s="270"/>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row>
    <row r="50" spans="1:59" x14ac:dyDescent="0.35">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row>
    <row r="51" spans="1:59" x14ac:dyDescent="0.35">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row>
    <row r="52" spans="1:59" x14ac:dyDescent="0.35">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row>
    <row r="53" spans="1:59" x14ac:dyDescent="0.35">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row>
    <row r="54" spans="1:59" x14ac:dyDescent="0.35">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row>
    <row r="55" spans="1:59" x14ac:dyDescent="0.35">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row>
    <row r="56" spans="1:59" x14ac:dyDescent="0.35">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row>
    <row r="57" spans="1:59" x14ac:dyDescent="0.35">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row>
    <row r="58" spans="1:59" x14ac:dyDescent="0.35">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row>
    <row r="59" spans="1:59" x14ac:dyDescent="0.35">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row>
    <row r="60" spans="1:59" x14ac:dyDescent="0.35">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row>
    <row r="61" spans="1:59" x14ac:dyDescent="0.35">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row>
    <row r="62" spans="1:59" x14ac:dyDescent="0.35">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row>
    <row r="63" spans="1:59" x14ac:dyDescent="0.35">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row>
    <row r="64" spans="1:59" x14ac:dyDescent="0.35">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row>
    <row r="65" spans="1:59" x14ac:dyDescent="0.35">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row>
    <row r="66" spans="1:59" x14ac:dyDescent="0.35">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row>
    <row r="67" spans="1:59" x14ac:dyDescent="0.35">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row>
    <row r="68" spans="1:59" x14ac:dyDescent="0.35">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row>
    <row r="69" spans="1:59" x14ac:dyDescent="0.35">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c r="BC69" s="270"/>
      <c r="BD69" s="270"/>
      <c r="BE69" s="270"/>
      <c r="BF69" s="270"/>
      <c r="BG69" s="270"/>
    </row>
    <row r="70" spans="1:59" x14ac:dyDescent="0.35">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c r="BA70" s="270"/>
      <c r="BB70" s="270"/>
      <c r="BC70" s="270"/>
      <c r="BD70" s="270"/>
      <c r="BE70" s="270"/>
      <c r="BF70" s="270"/>
      <c r="BG70" s="270"/>
    </row>
    <row r="71" spans="1:59" x14ac:dyDescent="0.35">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row>
    <row r="72" spans="1:59" x14ac:dyDescent="0.35">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c r="BA72" s="270"/>
      <c r="BB72" s="270"/>
      <c r="BC72" s="270"/>
      <c r="BD72" s="270"/>
      <c r="BE72" s="270"/>
      <c r="BF72" s="270"/>
      <c r="BG72" s="270"/>
    </row>
  </sheetData>
  <mergeCells count="3">
    <mergeCell ref="C9:D9"/>
    <mergeCell ref="B15:M15"/>
    <mergeCell ref="N15:U1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BD150"/>
  <sheetViews>
    <sheetView workbookViewId="0">
      <selection activeCell="G14" sqref="G14"/>
    </sheetView>
  </sheetViews>
  <sheetFormatPr defaultColWidth="10.26953125" defaultRowHeight="12.5" x14ac:dyDescent="0.25"/>
  <cols>
    <col min="1" max="1" width="9.1796875" style="10" customWidth="1"/>
    <col min="2" max="2" width="26.7265625" style="10" customWidth="1"/>
    <col min="3" max="3" width="7.26953125" style="10" bestFit="1" customWidth="1"/>
    <col min="4" max="4" width="12.1796875" style="10" bestFit="1" customWidth="1"/>
    <col min="5" max="5" width="16.453125" style="10" customWidth="1"/>
    <col min="6" max="6" width="12.7265625" style="10" customWidth="1"/>
    <col min="7" max="7" width="14.54296875" style="10" customWidth="1"/>
    <col min="8" max="8" width="13.26953125" style="10" customWidth="1"/>
    <col min="9" max="9" width="13" style="11" customWidth="1"/>
    <col min="10" max="10" width="12.81640625" style="11" customWidth="1"/>
    <col min="11" max="11" width="12.26953125" style="10" customWidth="1"/>
    <col min="12" max="12" width="11.1796875" style="10" customWidth="1"/>
    <col min="13" max="13" width="13.26953125" style="10" customWidth="1"/>
    <col min="14" max="14" width="11.453125" style="10" customWidth="1"/>
    <col min="15" max="15" width="12.81640625" style="10" customWidth="1"/>
    <col min="16" max="16" width="12.453125" style="10" customWidth="1"/>
    <col min="17" max="17" width="12.453125" style="10" bestFit="1" customWidth="1"/>
    <col min="18" max="18" width="11.54296875" style="11" customWidth="1"/>
    <col min="19" max="19" width="12.453125" style="40" customWidth="1"/>
    <col min="20" max="20" width="12.26953125" style="10" customWidth="1"/>
    <col min="21" max="22" width="11.26953125" style="10" customWidth="1"/>
    <col min="23" max="23" width="10.26953125" style="10" customWidth="1"/>
    <col min="24" max="24" width="11.1796875" style="10" bestFit="1" customWidth="1"/>
    <col min="25" max="27" width="11.1796875" style="10" customWidth="1"/>
    <col min="28" max="28" width="12.81640625" style="10" customWidth="1"/>
    <col min="29" max="29" width="11" style="10" customWidth="1"/>
    <col min="30" max="30" width="12.7265625" style="10" customWidth="1"/>
    <col min="31" max="31" width="13.1796875" style="10" customWidth="1"/>
    <col min="32" max="32" width="12.1796875" style="10" customWidth="1"/>
    <col min="33" max="33" width="11" style="10" customWidth="1"/>
    <col min="34" max="34" width="10.54296875" style="10" bestFit="1" customWidth="1"/>
    <col min="35" max="35" width="12.453125" style="10" customWidth="1"/>
    <col min="36" max="36" width="10.26953125" style="10" customWidth="1"/>
    <col min="37" max="37" width="28.54296875" style="10" bestFit="1" customWidth="1"/>
    <col min="38" max="38" width="11.1796875" style="10" customWidth="1"/>
    <col min="39" max="39" width="1.26953125" style="10" customWidth="1"/>
    <col min="40" max="40" width="10" style="10" customWidth="1"/>
    <col min="41" max="41" width="11.453125" style="10" customWidth="1"/>
    <col min="42" max="42" width="10.54296875" style="10" bestFit="1" customWidth="1"/>
    <col min="43" max="43" width="10.26953125" style="10" customWidth="1"/>
    <col min="44" max="44" width="15" style="10" customWidth="1"/>
    <col min="45" max="45" width="14.1796875" style="10" customWidth="1"/>
    <col min="46" max="49" width="10.26953125" style="10"/>
    <col min="50" max="50" width="14.7265625" style="11" customWidth="1"/>
    <col min="51" max="51" width="13.26953125" style="11" customWidth="1"/>
    <col min="52" max="53" width="10.26953125" style="10"/>
    <col min="54" max="54" width="19" style="11" bestFit="1" customWidth="1"/>
    <col min="55" max="55" width="16.81640625" style="11" customWidth="1"/>
    <col min="56" max="56" width="10.26953125" style="11"/>
    <col min="57" max="16384" width="10.26953125" style="10"/>
  </cols>
  <sheetData>
    <row r="1" spans="1:56" x14ac:dyDescent="0.25">
      <c r="A1" s="35" t="s">
        <v>76</v>
      </c>
      <c r="B1" s="15"/>
      <c r="C1" s="15"/>
      <c r="D1" s="15"/>
      <c r="E1" s="15"/>
      <c r="F1" s="15"/>
      <c r="G1" s="15"/>
      <c r="H1" s="15"/>
      <c r="I1" s="64"/>
      <c r="J1" s="64"/>
      <c r="K1" s="15"/>
      <c r="L1" s="15"/>
      <c r="M1" s="15"/>
      <c r="N1" s="15"/>
      <c r="O1" s="15"/>
      <c r="P1" s="15"/>
      <c r="Q1" s="15"/>
      <c r="R1" s="64"/>
      <c r="S1" s="522"/>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row>
    <row r="2" spans="1:56" ht="13" x14ac:dyDescent="0.3">
      <c r="A2" s="35"/>
      <c r="B2" s="15"/>
      <c r="C2" s="15"/>
      <c r="D2" s="15"/>
      <c r="E2" s="39" t="s">
        <v>724</v>
      </c>
      <c r="F2" s="15"/>
      <c r="G2" s="15"/>
      <c r="H2" s="15"/>
      <c r="I2" s="64"/>
      <c r="J2" s="64"/>
      <c r="K2" s="15"/>
      <c r="L2" s="15"/>
      <c r="M2" s="15"/>
      <c r="N2" s="15"/>
      <c r="O2" s="15"/>
      <c r="P2" s="15"/>
      <c r="Q2" s="15"/>
      <c r="R2" s="64"/>
      <c r="S2" s="522"/>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row>
    <row r="3" spans="1:56" ht="13" x14ac:dyDescent="0.3">
      <c r="A3" s="34" t="s">
        <v>725</v>
      </c>
      <c r="B3" s="15"/>
      <c r="C3" s="15"/>
      <c r="D3" s="15"/>
      <c r="E3" s="15"/>
      <c r="F3" s="15"/>
      <c r="G3" s="15"/>
      <c r="H3" s="15"/>
      <c r="I3" s="64"/>
      <c r="J3" s="64"/>
      <c r="K3" s="35" t="s">
        <v>726</v>
      </c>
      <c r="L3" s="15"/>
      <c r="M3" s="15"/>
      <c r="N3" s="15"/>
      <c r="O3" s="15"/>
      <c r="P3" s="15"/>
      <c r="Q3" s="15"/>
      <c r="R3" s="64"/>
      <c r="S3" s="522"/>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row>
    <row r="4" spans="1:56" x14ac:dyDescent="0.25">
      <c r="A4" s="15"/>
      <c r="B4" s="84"/>
      <c r="C4" s="84"/>
      <c r="D4" s="15"/>
      <c r="E4" s="15"/>
      <c r="F4" s="15"/>
      <c r="G4" s="15"/>
      <c r="H4" s="15"/>
      <c r="I4" s="64"/>
      <c r="J4" s="64"/>
      <c r="K4" s="15"/>
      <c r="L4" s="15"/>
      <c r="M4" s="15"/>
      <c r="N4" s="15"/>
      <c r="O4" s="1108" t="s">
        <v>77</v>
      </c>
      <c r="P4" s="1109"/>
      <c r="Q4" s="15"/>
      <c r="R4" s="636"/>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row>
    <row r="5" spans="1:56" ht="37.5" x14ac:dyDescent="0.25">
      <c r="A5" s="85" t="s">
        <v>48</v>
      </c>
      <c r="B5" s="67" t="s">
        <v>49</v>
      </c>
      <c r="C5" s="68" t="s">
        <v>50</v>
      </c>
      <c r="D5" s="64" t="s">
        <v>280</v>
      </c>
      <c r="E5" s="64" t="s">
        <v>281</v>
      </c>
      <c r="F5" s="64" t="s">
        <v>282</v>
      </c>
      <c r="G5" s="64" t="s">
        <v>283</v>
      </c>
      <c r="H5" s="64" t="s">
        <v>284</v>
      </c>
      <c r="I5" s="64" t="s">
        <v>285</v>
      </c>
      <c r="J5" s="64" t="s">
        <v>286</v>
      </c>
      <c r="K5" s="73" t="s">
        <v>78</v>
      </c>
      <c r="L5" s="73" t="s">
        <v>79</v>
      </c>
      <c r="M5" s="73" t="s">
        <v>80</v>
      </c>
      <c r="N5" s="73" t="s">
        <v>81</v>
      </c>
      <c r="O5" s="86" t="s">
        <v>82</v>
      </c>
      <c r="P5" s="110" t="s">
        <v>83</v>
      </c>
      <c r="Q5" s="15"/>
      <c r="R5" s="91" t="s">
        <v>287</v>
      </c>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row>
    <row r="6" spans="1:56" x14ac:dyDescent="0.25">
      <c r="A6" s="74">
        <v>9257010</v>
      </c>
      <c r="B6" s="67" t="s">
        <v>439</v>
      </c>
      <c r="C6" s="121">
        <v>5</v>
      </c>
      <c r="D6" s="523">
        <v>6.1224489795918366E-2</v>
      </c>
      <c r="E6" s="523">
        <v>0.42857142857142855</v>
      </c>
      <c r="F6" s="523">
        <v>7.1428571428571425E-2</v>
      </c>
      <c r="G6" s="523">
        <v>0.1326530612244898</v>
      </c>
      <c r="H6" s="523">
        <v>8.1632653061224483E-2</v>
      </c>
      <c r="I6" s="523">
        <v>0.11224489795918367</v>
      </c>
      <c r="J6" s="523">
        <v>0.11224489795918367</v>
      </c>
      <c r="K6" s="162">
        <v>90</v>
      </c>
      <c r="L6" s="524">
        <v>471688.08886919718</v>
      </c>
      <c r="M6" s="524">
        <v>0</v>
      </c>
      <c r="N6" s="524">
        <v>471688.08886919718</v>
      </c>
      <c r="O6" s="525">
        <v>375000</v>
      </c>
      <c r="P6" s="525">
        <v>294622.35815307358</v>
      </c>
      <c r="Q6" s="65"/>
      <c r="R6" s="65">
        <v>99734.385989717921</v>
      </c>
      <c r="S6" s="88"/>
      <c r="T6" s="619"/>
      <c r="U6" s="619"/>
      <c r="V6" s="610"/>
      <c r="W6" s="610"/>
      <c r="X6" s="610"/>
      <c r="Y6" s="610"/>
      <c r="Z6" s="610"/>
      <c r="AA6" s="610"/>
      <c r="AB6" s="610"/>
      <c r="AC6" s="610"/>
      <c r="AD6" s="610"/>
      <c r="AE6" s="610"/>
      <c r="AF6" s="610"/>
      <c r="AG6" s="610"/>
      <c r="AH6" s="610"/>
      <c r="AI6" s="610"/>
      <c r="AJ6" s="610"/>
      <c r="AK6" s="610"/>
      <c r="AL6" s="610"/>
      <c r="AM6" s="610"/>
      <c r="AN6" s="610"/>
      <c r="AO6" s="15"/>
      <c r="AP6" s="15"/>
      <c r="AQ6" s="15"/>
      <c r="AR6" s="15"/>
      <c r="AS6" s="15"/>
      <c r="AT6" s="15"/>
      <c r="AU6" s="15"/>
      <c r="AV6" s="15"/>
      <c r="AW6" s="15"/>
      <c r="AX6" s="15"/>
      <c r="AY6" s="15"/>
      <c r="AZ6" s="15"/>
      <c r="BA6" s="15"/>
      <c r="BB6" s="15"/>
      <c r="BC6" s="15"/>
      <c r="BD6" s="15"/>
    </row>
    <row r="7" spans="1:56" ht="12.75" customHeight="1" x14ac:dyDescent="0.25">
      <c r="A7" s="74">
        <v>9257005</v>
      </c>
      <c r="B7" s="67" t="s">
        <v>63</v>
      </c>
      <c r="C7" s="121">
        <v>4</v>
      </c>
      <c r="D7" s="523">
        <v>5.8139534883720929E-2</v>
      </c>
      <c r="E7" s="523">
        <v>0.38372093023255816</v>
      </c>
      <c r="F7" s="523">
        <v>9.3023255813953487E-2</v>
      </c>
      <c r="G7" s="523">
        <v>0.13953488372093023</v>
      </c>
      <c r="H7" s="523">
        <v>0.11627906976744186</v>
      </c>
      <c r="I7" s="523">
        <v>0.15116279069767441</v>
      </c>
      <c r="J7" s="523">
        <v>5.8139534883720929E-2</v>
      </c>
      <c r="K7" s="162">
        <v>58</v>
      </c>
      <c r="L7" s="524">
        <v>303118.87264978001</v>
      </c>
      <c r="M7" s="524">
        <v>0</v>
      </c>
      <c r="N7" s="524">
        <v>303118.87264978001</v>
      </c>
      <c r="O7" s="525">
        <v>241666.66666666669</v>
      </c>
      <c r="P7" s="525">
        <v>213553.63213551213</v>
      </c>
      <c r="Q7" s="65"/>
      <c r="R7" s="65">
        <v>33291.6519829432</v>
      </c>
      <c r="S7" s="63"/>
      <c r="T7" s="619"/>
      <c r="U7" s="619"/>
      <c r="V7" s="610"/>
      <c r="W7" s="610"/>
      <c r="X7" s="610"/>
      <c r="Y7" s="610"/>
      <c r="Z7" s="610"/>
      <c r="AA7" s="610"/>
      <c r="AB7" s="610"/>
      <c r="AC7" s="610"/>
      <c r="AD7" s="610"/>
      <c r="AE7" s="610"/>
      <c r="AF7" s="610"/>
      <c r="AG7" s="610"/>
      <c r="AH7" s="15"/>
      <c r="AI7" s="15"/>
      <c r="AJ7" s="15"/>
      <c r="AK7" s="15"/>
      <c r="AL7" s="15"/>
      <c r="AM7" s="15"/>
      <c r="AN7" s="15"/>
      <c r="AO7" s="15"/>
      <c r="AP7" s="15"/>
      <c r="AQ7" s="15"/>
      <c r="AR7" s="15"/>
      <c r="AS7" s="15"/>
      <c r="AT7" s="15"/>
      <c r="AU7" s="15"/>
      <c r="AV7" s="15"/>
      <c r="AW7" s="15"/>
      <c r="AX7" s="15"/>
      <c r="AY7" s="15"/>
      <c r="AZ7" s="15"/>
      <c r="BA7" s="15"/>
      <c r="BB7" s="15"/>
      <c r="BC7" s="15"/>
      <c r="BD7" s="15"/>
    </row>
    <row r="8" spans="1:56" ht="12.75" customHeight="1" x14ac:dyDescent="0.25">
      <c r="A8" s="74">
        <v>9257025</v>
      </c>
      <c r="B8" s="67" t="s">
        <v>64</v>
      </c>
      <c r="C8" s="121">
        <v>4</v>
      </c>
      <c r="D8" s="523">
        <v>0.13924050632911392</v>
      </c>
      <c r="E8" s="523">
        <v>0.46835443037974683</v>
      </c>
      <c r="F8" s="523">
        <v>3.7974683544303799E-2</v>
      </c>
      <c r="G8" s="523">
        <v>0.11392405063291139</v>
      </c>
      <c r="H8" s="523">
        <v>3.7974683544303799E-2</v>
      </c>
      <c r="I8" s="523">
        <v>0.15189873417721519</v>
      </c>
      <c r="J8" s="523">
        <v>5.0632911392405063E-2</v>
      </c>
      <c r="K8" s="162">
        <v>54</v>
      </c>
      <c r="L8" s="524">
        <v>250033.25084695575</v>
      </c>
      <c r="M8" s="524">
        <v>0</v>
      </c>
      <c r="N8" s="524">
        <v>250033.25084695575</v>
      </c>
      <c r="O8" s="525">
        <v>225000</v>
      </c>
      <c r="P8" s="525">
        <v>164263.77492545042</v>
      </c>
      <c r="Q8" s="65"/>
      <c r="R8" s="65">
        <v>26993.702629207892</v>
      </c>
      <c r="S8" s="63"/>
      <c r="T8" s="619"/>
      <c r="U8" s="619"/>
      <c r="V8" s="610"/>
      <c r="W8" s="610"/>
      <c r="X8" s="610"/>
      <c r="Y8" s="610"/>
      <c r="Z8" s="610"/>
      <c r="AA8" s="610"/>
      <c r="AB8" s="610"/>
      <c r="AC8" s="610"/>
      <c r="AD8" s="610"/>
      <c r="AE8" s="610"/>
      <c r="AF8" s="610"/>
      <c r="AG8" s="610"/>
      <c r="AH8" s="15"/>
      <c r="AI8" s="15"/>
      <c r="AJ8" s="15"/>
      <c r="AK8" s="15"/>
      <c r="AL8" s="15"/>
      <c r="AM8" s="15"/>
      <c r="AN8" s="15"/>
      <c r="AO8" s="15"/>
      <c r="AP8" s="15"/>
      <c r="AQ8" s="15"/>
      <c r="AR8" s="15"/>
      <c r="AS8" s="15"/>
      <c r="AT8" s="15"/>
      <c r="AU8" s="15"/>
      <c r="AV8" s="15"/>
      <c r="AW8" s="15"/>
      <c r="AX8" s="15"/>
      <c r="AY8" s="15"/>
      <c r="AZ8" s="15"/>
      <c r="BA8" s="15"/>
      <c r="BB8" s="15"/>
      <c r="BC8" s="15"/>
      <c r="BD8" s="15"/>
    </row>
    <row r="9" spans="1:56" x14ac:dyDescent="0.25">
      <c r="A9" s="74">
        <v>9257024</v>
      </c>
      <c r="B9" s="67" t="s">
        <v>66</v>
      </c>
      <c r="C9" s="121">
        <v>4</v>
      </c>
      <c r="D9" s="523">
        <v>7.1428571428571425E-2</v>
      </c>
      <c r="E9" s="523">
        <v>0.51190476190476186</v>
      </c>
      <c r="F9" s="523">
        <v>2.3809523809523808E-2</v>
      </c>
      <c r="G9" s="523">
        <v>0.17857142857142858</v>
      </c>
      <c r="H9" s="523">
        <v>8.3333333333333329E-2</v>
      </c>
      <c r="I9" s="523">
        <v>7.1428571428571425E-2</v>
      </c>
      <c r="J9" s="523">
        <v>5.9523809523809521E-2</v>
      </c>
      <c r="K9" s="162">
        <v>71</v>
      </c>
      <c r="L9" s="524">
        <v>336485.1834975293</v>
      </c>
      <c r="M9" s="524">
        <v>0</v>
      </c>
      <c r="N9" s="524">
        <v>336485.1834975293</v>
      </c>
      <c r="O9" s="525">
        <v>295833.33333333337</v>
      </c>
      <c r="P9" s="525">
        <v>221026.84946924594</v>
      </c>
      <c r="Q9" s="65"/>
      <c r="R9" s="65">
        <v>41723.897169099168</v>
      </c>
      <c r="S9" s="63"/>
      <c r="T9" s="619"/>
      <c r="U9" s="619"/>
      <c r="V9" s="610"/>
      <c r="W9" s="610"/>
      <c r="X9" s="610"/>
      <c r="Y9" s="610"/>
      <c r="Z9" s="610"/>
      <c r="AA9" s="610"/>
      <c r="AB9" s="610"/>
      <c r="AC9" s="610"/>
      <c r="AD9" s="610"/>
      <c r="AE9" s="610"/>
      <c r="AF9" s="610"/>
      <c r="AG9" s="610"/>
      <c r="AH9" s="15"/>
      <c r="AI9" s="15"/>
      <c r="AJ9" s="15"/>
      <c r="AK9" s="15"/>
      <c r="AL9" s="15"/>
      <c r="AM9" s="15"/>
      <c r="AN9" s="15"/>
      <c r="AO9" s="15"/>
      <c r="AP9" s="15"/>
      <c r="AQ9" s="15"/>
      <c r="AR9" s="15"/>
      <c r="AS9" s="15"/>
      <c r="AT9" s="15"/>
      <c r="AU9" s="15"/>
      <c r="AV9" s="15"/>
      <c r="AW9" s="15"/>
      <c r="AX9" s="15"/>
      <c r="AY9" s="15"/>
      <c r="AZ9" s="15"/>
      <c r="BA9" s="15"/>
      <c r="BB9" s="15"/>
      <c r="BC9" s="15"/>
      <c r="BD9" s="15"/>
    </row>
    <row r="10" spans="1:56" ht="12.75" customHeight="1" x14ac:dyDescent="0.25">
      <c r="A10" s="74">
        <v>9257031</v>
      </c>
      <c r="B10" s="67" t="s">
        <v>84</v>
      </c>
      <c r="C10" s="121">
        <v>5</v>
      </c>
      <c r="D10" s="523">
        <v>0</v>
      </c>
      <c r="E10" s="523">
        <v>0</v>
      </c>
      <c r="F10" s="523">
        <v>1</v>
      </c>
      <c r="G10" s="523">
        <v>0</v>
      </c>
      <c r="H10" s="523">
        <v>0</v>
      </c>
      <c r="I10" s="523">
        <v>0</v>
      </c>
      <c r="J10" s="523">
        <v>0</v>
      </c>
      <c r="K10" s="162">
        <v>81</v>
      </c>
      <c r="L10" s="524">
        <v>510058.90054183692</v>
      </c>
      <c r="M10" s="524">
        <v>0</v>
      </c>
      <c r="N10" s="524">
        <v>510058.90054183692</v>
      </c>
      <c r="O10" s="525">
        <v>337500</v>
      </c>
      <c r="P10" s="525">
        <v>386520.86219986796</v>
      </c>
      <c r="Q10" s="65"/>
      <c r="R10" s="65">
        <v>0</v>
      </c>
      <c r="S10" s="63"/>
      <c r="T10" s="619"/>
      <c r="U10" s="619"/>
      <c r="V10" s="610"/>
      <c r="W10" s="610"/>
      <c r="X10" s="610"/>
      <c r="Y10" s="610"/>
      <c r="Z10" s="610"/>
      <c r="AA10" s="610"/>
      <c r="AB10" s="610"/>
      <c r="AC10" s="610"/>
      <c r="AD10" s="610"/>
      <c r="AE10" s="610"/>
      <c r="AF10" s="610"/>
      <c r="AG10" s="610"/>
      <c r="AH10" s="15"/>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1:56" x14ac:dyDescent="0.25">
      <c r="A11" s="74">
        <v>9257033</v>
      </c>
      <c r="B11" s="67" t="s">
        <v>74</v>
      </c>
      <c r="C11" s="121" t="s">
        <v>451</v>
      </c>
      <c r="D11" s="523">
        <v>0.1388888888888889</v>
      </c>
      <c r="E11" s="523">
        <v>0.62962962962962965</v>
      </c>
      <c r="F11" s="523">
        <v>4.6296296296296294E-2</v>
      </c>
      <c r="G11" s="523">
        <v>0.10185185185185185</v>
      </c>
      <c r="H11" s="523">
        <v>3.7037037037037035E-2</v>
      </c>
      <c r="I11" s="523">
        <v>3.7037037037037035E-2</v>
      </c>
      <c r="J11" s="523">
        <v>9.2592592592592587E-3</v>
      </c>
      <c r="K11" s="162">
        <v>98</v>
      </c>
      <c r="L11" s="524">
        <v>383558.56916878762</v>
      </c>
      <c r="M11" s="524">
        <v>0</v>
      </c>
      <c r="N11" s="524">
        <v>383558.56916878762</v>
      </c>
      <c r="O11" s="525">
        <v>408333.33333333337</v>
      </c>
      <c r="P11" s="525">
        <v>177349.69737391575</v>
      </c>
      <c r="Q11" s="65"/>
      <c r="R11" s="65">
        <v>8958.5582028175359</v>
      </c>
      <c r="S11" s="63"/>
      <c r="T11" s="619"/>
      <c r="U11" s="619"/>
      <c r="V11" s="610"/>
      <c r="W11" s="610"/>
      <c r="X11" s="610"/>
      <c r="Y11" s="610"/>
      <c r="Z11" s="610"/>
      <c r="AA11" s="610"/>
      <c r="AB11" s="610"/>
      <c r="AC11" s="610"/>
      <c r="AD11" s="610"/>
      <c r="AE11" s="610"/>
      <c r="AF11" s="610"/>
      <c r="AG11" s="610"/>
      <c r="AH11" s="15"/>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1:56" x14ac:dyDescent="0.25">
      <c r="A12" s="74">
        <v>9257008</v>
      </c>
      <c r="B12" s="67" t="s">
        <v>67</v>
      </c>
      <c r="C12" s="121">
        <v>4</v>
      </c>
      <c r="D12" s="523">
        <v>0.11</v>
      </c>
      <c r="E12" s="523">
        <v>0.64</v>
      </c>
      <c r="F12" s="523">
        <v>7.0000000000000007E-2</v>
      </c>
      <c r="G12" s="523">
        <v>0.09</v>
      </c>
      <c r="H12" s="523">
        <v>0</v>
      </c>
      <c r="I12" s="523">
        <v>0.09</v>
      </c>
      <c r="J12" s="523">
        <v>0</v>
      </c>
      <c r="K12" s="162">
        <v>99</v>
      </c>
      <c r="L12" s="524">
        <v>393789.93722473265</v>
      </c>
      <c r="M12" s="524">
        <v>0</v>
      </c>
      <c r="N12" s="524">
        <v>393789.93722473265</v>
      </c>
      <c r="O12" s="525">
        <v>412500</v>
      </c>
      <c r="P12" s="525">
        <v>192682.85818979089</v>
      </c>
      <c r="Q12" s="65"/>
      <c r="R12" s="65">
        <v>0</v>
      </c>
      <c r="S12" s="63"/>
      <c r="T12" s="619"/>
      <c r="U12" s="619"/>
      <c r="V12" s="610"/>
      <c r="W12" s="610"/>
      <c r="X12" s="610"/>
      <c r="Y12" s="610"/>
      <c r="Z12" s="610"/>
      <c r="AA12" s="610"/>
      <c r="AB12" s="610"/>
      <c r="AC12" s="610"/>
      <c r="AD12" s="610"/>
      <c r="AE12" s="610"/>
      <c r="AF12" s="610"/>
      <c r="AG12" s="610"/>
      <c r="AH12" s="15"/>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1:56" x14ac:dyDescent="0.25">
      <c r="A13" s="74">
        <v>9257034</v>
      </c>
      <c r="B13" s="67" t="s">
        <v>75</v>
      </c>
      <c r="C13" s="121" t="s">
        <v>451</v>
      </c>
      <c r="D13" s="523">
        <v>0.44444444444444442</v>
      </c>
      <c r="E13" s="523">
        <v>0.32407407407407407</v>
      </c>
      <c r="F13" s="523">
        <v>9.2592592592592587E-2</v>
      </c>
      <c r="G13" s="523">
        <v>4.6296296296296294E-2</v>
      </c>
      <c r="H13" s="523">
        <v>2.7777777777777776E-2</v>
      </c>
      <c r="I13" s="523">
        <v>5.5555555555555552E-2</v>
      </c>
      <c r="J13" s="523">
        <v>9.2592592592592587E-3</v>
      </c>
      <c r="K13" s="162">
        <v>88</v>
      </c>
      <c r="L13" s="524">
        <v>330876.38918571518</v>
      </c>
      <c r="M13" s="524">
        <v>0</v>
      </c>
      <c r="N13" s="524">
        <v>330876.38918571518</v>
      </c>
      <c r="O13" s="525">
        <v>366666.66666666669</v>
      </c>
      <c r="P13" s="525">
        <v>145415.20898178779</v>
      </c>
      <c r="Q13" s="65"/>
      <c r="R13" s="65">
        <v>8044.4196106932986</v>
      </c>
      <c r="S13" s="63"/>
      <c r="T13" s="619"/>
      <c r="U13" s="619"/>
      <c r="V13" s="610"/>
      <c r="W13" s="610"/>
      <c r="X13" s="610"/>
      <c r="Y13" s="610"/>
      <c r="Z13" s="610"/>
      <c r="AA13" s="610"/>
      <c r="AB13" s="610"/>
      <c r="AC13" s="610"/>
      <c r="AD13" s="610"/>
      <c r="AE13" s="610"/>
      <c r="AF13" s="610"/>
      <c r="AG13" s="610"/>
      <c r="AH13" s="15"/>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x14ac:dyDescent="0.25">
      <c r="A14" s="74">
        <v>9257002</v>
      </c>
      <c r="B14" s="67" t="s">
        <v>68</v>
      </c>
      <c r="C14" s="121">
        <v>5</v>
      </c>
      <c r="D14" s="523">
        <v>0.33557046979865773</v>
      </c>
      <c r="E14" s="523">
        <v>0.38926174496644295</v>
      </c>
      <c r="F14" s="523">
        <v>0.13422818791946309</v>
      </c>
      <c r="G14" s="523">
        <v>3.3557046979865772E-2</v>
      </c>
      <c r="H14" s="523">
        <v>2.0134228187919462E-2</v>
      </c>
      <c r="I14" s="523">
        <v>7.3825503355704702E-2</v>
      </c>
      <c r="J14" s="523">
        <v>1.3422818791946308E-2</v>
      </c>
      <c r="K14" s="162">
        <v>151</v>
      </c>
      <c r="L14" s="524">
        <v>600098.1494541727</v>
      </c>
      <c r="M14" s="524">
        <v>0</v>
      </c>
      <c r="N14" s="524">
        <v>600098.1494541727</v>
      </c>
      <c r="O14" s="525">
        <v>629166.66666666674</v>
      </c>
      <c r="P14" s="525">
        <v>216226.17309799846</v>
      </c>
      <c r="Q14" s="65"/>
      <c r="R14" s="65">
        <v>20010.432430016215</v>
      </c>
      <c r="S14" s="63"/>
      <c r="T14" s="619"/>
      <c r="U14" s="619"/>
      <c r="V14" s="610"/>
      <c r="W14" s="610"/>
      <c r="X14" s="610"/>
      <c r="Y14" s="610"/>
      <c r="Z14" s="610"/>
      <c r="AA14" s="610"/>
      <c r="AB14" s="610"/>
      <c r="AC14" s="610"/>
      <c r="AD14" s="610"/>
      <c r="AE14" s="610"/>
      <c r="AF14" s="610"/>
      <c r="AG14" s="610"/>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1:56" x14ac:dyDescent="0.25">
      <c r="A15" s="74">
        <v>9257009</v>
      </c>
      <c r="B15" s="67" t="s">
        <v>69</v>
      </c>
      <c r="C15" s="121" t="s">
        <v>451</v>
      </c>
      <c r="D15" s="523">
        <v>0.16728126399462603</v>
      </c>
      <c r="E15" s="523">
        <v>0.5331117367060082</v>
      </c>
      <c r="F15" s="523">
        <v>5.951180875576037E-2</v>
      </c>
      <c r="G15" s="523">
        <v>7.4766176884850405E-2</v>
      </c>
      <c r="H15" s="523">
        <v>3.7220400914435951E-2</v>
      </c>
      <c r="I15" s="523">
        <v>8.0393258021177944E-2</v>
      </c>
      <c r="J15" s="523">
        <v>4.7715354723141153E-2</v>
      </c>
      <c r="K15" s="162">
        <v>186</v>
      </c>
      <c r="L15" s="524">
        <v>794259.90960403963</v>
      </c>
      <c r="M15" s="524">
        <v>0</v>
      </c>
      <c r="N15" s="524">
        <v>794259.90960403963</v>
      </c>
      <c r="O15" s="525">
        <v>775000</v>
      </c>
      <c r="P15" s="525">
        <v>316130.56820382696</v>
      </c>
      <c r="Q15" s="65"/>
      <c r="R15" s="65">
        <v>87620.736713907798</v>
      </c>
      <c r="S15" s="63"/>
      <c r="T15" s="619"/>
      <c r="U15" s="619"/>
      <c r="V15" s="610"/>
      <c r="W15" s="610"/>
      <c r="X15" s="610"/>
      <c r="Y15" s="610"/>
      <c r="Z15" s="610"/>
      <c r="AA15" s="610"/>
      <c r="AB15" s="610"/>
      <c r="AC15" s="610"/>
      <c r="AD15" s="610"/>
      <c r="AE15" s="610"/>
      <c r="AF15" s="610"/>
      <c r="AG15" s="610"/>
      <c r="AH15" s="15"/>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1:56" x14ac:dyDescent="0.25">
      <c r="A16" s="74">
        <v>9257029</v>
      </c>
      <c r="B16" s="67" t="s">
        <v>278</v>
      </c>
      <c r="C16" s="121" t="s">
        <v>452</v>
      </c>
      <c r="D16" s="523">
        <v>0</v>
      </c>
      <c r="E16" s="523">
        <v>0</v>
      </c>
      <c r="F16" s="523">
        <v>1</v>
      </c>
      <c r="G16" s="523">
        <v>0</v>
      </c>
      <c r="H16" s="523">
        <v>0</v>
      </c>
      <c r="I16" s="523">
        <v>0</v>
      </c>
      <c r="J16" s="523">
        <v>0</v>
      </c>
      <c r="K16" s="162">
        <v>78</v>
      </c>
      <c r="L16" s="524">
        <v>491167.83015139849</v>
      </c>
      <c r="M16" s="524">
        <v>0</v>
      </c>
      <c r="N16" s="524">
        <v>491167.83015139849</v>
      </c>
      <c r="O16" s="525">
        <v>325000</v>
      </c>
      <c r="P16" s="525">
        <v>367513.1260156614</v>
      </c>
      <c r="Q16" s="65"/>
      <c r="R16" s="65">
        <v>0</v>
      </c>
      <c r="S16" s="63"/>
      <c r="T16" s="619"/>
      <c r="U16" s="619"/>
      <c r="V16" s="610"/>
      <c r="W16" s="610"/>
      <c r="X16" s="610"/>
      <c r="Y16" s="610"/>
      <c r="Z16" s="610"/>
      <c r="AA16" s="610"/>
      <c r="AB16" s="610"/>
      <c r="AC16" s="610"/>
      <c r="AD16" s="610"/>
      <c r="AE16" s="610"/>
      <c r="AF16" s="610"/>
      <c r="AG16" s="610"/>
      <c r="AH16" s="15"/>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x14ac:dyDescent="0.25">
      <c r="A17" s="74">
        <v>9257032</v>
      </c>
      <c r="B17" s="67" t="s">
        <v>380</v>
      </c>
      <c r="C17" s="121" t="s">
        <v>452</v>
      </c>
      <c r="D17" s="523">
        <v>0</v>
      </c>
      <c r="E17" s="523">
        <v>0</v>
      </c>
      <c r="F17" s="523">
        <v>1</v>
      </c>
      <c r="G17" s="523">
        <v>0</v>
      </c>
      <c r="H17" s="523">
        <v>0</v>
      </c>
      <c r="I17" s="523">
        <v>0</v>
      </c>
      <c r="J17" s="523">
        <v>0</v>
      </c>
      <c r="K17" s="162">
        <v>104</v>
      </c>
      <c r="L17" s="524">
        <v>654890.44020186469</v>
      </c>
      <c r="M17" s="524">
        <v>0</v>
      </c>
      <c r="N17" s="524">
        <v>654890.44020186469</v>
      </c>
      <c r="O17" s="525">
        <v>433333.33333333337</v>
      </c>
      <c r="P17" s="525">
        <v>427341.31520186481</v>
      </c>
      <c r="Q17" s="65"/>
      <c r="R17" s="65">
        <v>0</v>
      </c>
      <c r="S17" s="88"/>
      <c r="T17" s="619"/>
      <c r="U17" s="619"/>
      <c r="V17" s="610"/>
      <c r="W17" s="610"/>
      <c r="X17" s="610"/>
      <c r="Y17" s="610"/>
      <c r="Z17" s="610"/>
      <c r="AA17" s="610"/>
      <c r="AB17" s="610"/>
      <c r="AC17" s="610"/>
      <c r="AD17" s="610"/>
      <c r="AE17" s="610"/>
      <c r="AF17" s="610"/>
      <c r="AG17" s="610"/>
      <c r="AH17" s="15"/>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x14ac:dyDescent="0.25">
      <c r="A18" s="74">
        <v>9257030</v>
      </c>
      <c r="B18" s="67" t="s">
        <v>383</v>
      </c>
      <c r="C18" s="121" t="s">
        <v>452</v>
      </c>
      <c r="D18" s="523">
        <v>0</v>
      </c>
      <c r="E18" s="523">
        <v>0</v>
      </c>
      <c r="F18" s="523">
        <v>1</v>
      </c>
      <c r="G18" s="523">
        <v>0</v>
      </c>
      <c r="H18" s="523">
        <v>0</v>
      </c>
      <c r="I18" s="523">
        <v>0</v>
      </c>
      <c r="J18" s="523">
        <v>0</v>
      </c>
      <c r="K18" s="162">
        <v>72</v>
      </c>
      <c r="L18" s="524">
        <v>453385.68937052169</v>
      </c>
      <c r="M18" s="524">
        <v>0</v>
      </c>
      <c r="N18" s="524">
        <v>453385.68937052169</v>
      </c>
      <c r="O18" s="525">
        <v>300000</v>
      </c>
      <c r="P18" s="525">
        <v>361404.75890177267</v>
      </c>
      <c r="Q18" s="65"/>
      <c r="R18" s="65">
        <v>0</v>
      </c>
      <c r="S18" s="88"/>
      <c r="T18" s="619"/>
      <c r="U18" s="619"/>
      <c r="V18" s="610"/>
      <c r="W18" s="610"/>
      <c r="X18" s="610"/>
      <c r="Y18" s="610"/>
      <c r="Z18" s="610"/>
      <c r="AA18" s="610"/>
      <c r="AB18" s="610"/>
      <c r="AC18" s="610"/>
      <c r="AD18" s="610"/>
      <c r="AE18" s="610"/>
      <c r="AF18" s="610"/>
      <c r="AG18" s="610"/>
      <c r="AH18" s="15"/>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x14ac:dyDescent="0.25">
      <c r="A19" s="74">
        <v>9257028</v>
      </c>
      <c r="B19" s="67" t="s">
        <v>70</v>
      </c>
      <c r="C19" s="121">
        <v>5</v>
      </c>
      <c r="D19" s="523">
        <v>9.2436974789915971E-2</v>
      </c>
      <c r="E19" s="523">
        <v>0.44537815126050423</v>
      </c>
      <c r="F19" s="523">
        <v>7.5630252100840331E-2</v>
      </c>
      <c r="G19" s="523">
        <v>9.2436974789915971E-2</v>
      </c>
      <c r="H19" s="523">
        <v>9.2436974789915971E-2</v>
      </c>
      <c r="I19" s="523">
        <v>7.5630252100840331E-2</v>
      </c>
      <c r="J19" s="523">
        <v>0.12605042016806722</v>
      </c>
      <c r="K19" s="162">
        <v>117</v>
      </c>
      <c r="L19" s="524">
        <v>596696.89775664592</v>
      </c>
      <c r="M19" s="524">
        <v>0</v>
      </c>
      <c r="N19" s="524">
        <v>596696.89775664592</v>
      </c>
      <c r="O19" s="525">
        <v>487500</v>
      </c>
      <c r="P19" s="525">
        <v>354409.76048916666</v>
      </c>
      <c r="Q19" s="65"/>
      <c r="R19" s="65">
        <v>145601.53676573792</v>
      </c>
      <c r="S19" s="88"/>
      <c r="T19" s="619"/>
      <c r="U19" s="619"/>
      <c r="V19" s="610"/>
      <c r="W19" s="610"/>
      <c r="X19" s="610"/>
      <c r="Y19" s="610"/>
      <c r="Z19" s="610"/>
      <c r="AA19" s="610"/>
      <c r="AB19" s="610"/>
      <c r="AC19" s="610"/>
      <c r="AD19" s="610"/>
      <c r="AE19" s="610"/>
      <c r="AF19" s="610"/>
      <c r="AG19" s="610"/>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x14ac:dyDescent="0.25">
      <c r="A20" s="74">
        <v>9257021</v>
      </c>
      <c r="B20" s="67" t="s">
        <v>71</v>
      </c>
      <c r="C20" s="121" t="s">
        <v>453</v>
      </c>
      <c r="D20" s="523">
        <v>0.25146198830409355</v>
      </c>
      <c r="E20" s="523">
        <v>0.47368421052631576</v>
      </c>
      <c r="F20" s="523">
        <v>9.3567251461988299E-2</v>
      </c>
      <c r="G20" s="523">
        <v>7.6023391812865493E-2</v>
      </c>
      <c r="H20" s="523">
        <v>3.5087719298245612E-2</v>
      </c>
      <c r="I20" s="523">
        <v>5.8479532163742687E-2</v>
      </c>
      <c r="J20" s="523">
        <v>1.1695906432748537E-2</v>
      </c>
      <c r="K20" s="162">
        <v>169</v>
      </c>
      <c r="L20" s="524">
        <v>677446.98594264616</v>
      </c>
      <c r="M20" s="524">
        <v>0</v>
      </c>
      <c r="N20" s="524">
        <v>677446.98594264616</v>
      </c>
      <c r="O20" s="525">
        <v>704166.66666666674</v>
      </c>
      <c r="P20" s="525">
        <v>242670.92616263661</v>
      </c>
      <c r="Q20" s="65"/>
      <c r="R20" s="65">
        <v>19514.453313978476</v>
      </c>
      <c r="S20" s="88"/>
      <c r="T20" s="619"/>
      <c r="U20" s="619"/>
      <c r="V20" s="610"/>
      <c r="W20" s="610"/>
      <c r="X20" s="610"/>
      <c r="Y20" s="610"/>
      <c r="Z20" s="610"/>
      <c r="AA20" s="610"/>
      <c r="AB20" s="610"/>
      <c r="AC20" s="610"/>
      <c r="AD20" s="610"/>
      <c r="AE20" s="610"/>
      <c r="AF20" s="610"/>
      <c r="AG20" s="610"/>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x14ac:dyDescent="0.25">
      <c r="A21" s="74">
        <v>9257015</v>
      </c>
      <c r="B21" s="67" t="s">
        <v>72</v>
      </c>
      <c r="C21" s="121" t="s">
        <v>454</v>
      </c>
      <c r="D21" s="523">
        <v>0.31555555555555553</v>
      </c>
      <c r="E21" s="523">
        <v>0.38666666666666666</v>
      </c>
      <c r="F21" s="523">
        <v>1.7777777777777778E-2</v>
      </c>
      <c r="G21" s="523">
        <v>9.3333333333333338E-2</v>
      </c>
      <c r="H21" s="523">
        <v>1.7777777777777778E-2</v>
      </c>
      <c r="I21" s="523">
        <v>0.16</v>
      </c>
      <c r="J21" s="523">
        <v>8.8888888888888889E-3</v>
      </c>
      <c r="K21" s="162">
        <v>223</v>
      </c>
      <c r="L21" s="524">
        <v>913523.01683981321</v>
      </c>
      <c r="M21" s="524">
        <v>0</v>
      </c>
      <c r="N21" s="524">
        <v>913523.01683981321</v>
      </c>
      <c r="O21" s="525">
        <v>929166.66666666674</v>
      </c>
      <c r="P21" s="525">
        <v>304703.02916505228</v>
      </c>
      <c r="Q21" s="65"/>
      <c r="R21" s="65">
        <v>19569.878980195699</v>
      </c>
      <c r="S21" s="88"/>
      <c r="T21" s="619"/>
      <c r="U21" s="619"/>
      <c r="V21" s="610"/>
      <c r="W21" s="610"/>
      <c r="X21" s="610"/>
      <c r="Y21" s="610"/>
      <c r="Z21" s="610"/>
      <c r="AA21" s="610"/>
      <c r="AB21" s="610"/>
      <c r="AC21" s="610"/>
      <c r="AD21" s="610"/>
      <c r="AE21" s="610"/>
      <c r="AF21" s="610"/>
      <c r="AG21" s="610"/>
      <c r="AH21" s="15"/>
      <c r="AI21" s="15"/>
      <c r="AJ21" s="15"/>
      <c r="AK21" s="15"/>
      <c r="AL21" s="15"/>
      <c r="AM21" s="15"/>
      <c r="AN21" s="15"/>
      <c r="AO21" s="15"/>
      <c r="AP21" s="15"/>
      <c r="AQ21" s="15"/>
      <c r="AR21" s="15"/>
      <c r="AS21" s="15"/>
      <c r="AT21" s="15"/>
      <c r="AU21" s="15"/>
      <c r="AV21" s="15"/>
      <c r="AW21" s="15"/>
      <c r="AX21" s="15"/>
      <c r="AY21" s="15"/>
      <c r="AZ21" s="15"/>
      <c r="BA21" s="15"/>
      <c r="BB21" s="15"/>
      <c r="BC21" s="15"/>
      <c r="BD21" s="15"/>
    </row>
    <row r="22" spans="1:56" x14ac:dyDescent="0.25">
      <c r="A22" s="74">
        <v>9257016</v>
      </c>
      <c r="B22" s="67" t="s">
        <v>73</v>
      </c>
      <c r="C22" s="121" t="s">
        <v>454</v>
      </c>
      <c r="D22" s="523">
        <v>0.15337423312883436</v>
      </c>
      <c r="E22" s="523">
        <v>0.19018404907975461</v>
      </c>
      <c r="F22" s="523">
        <v>1.2269938650306749E-2</v>
      </c>
      <c r="G22" s="523">
        <v>0.22699386503067484</v>
      </c>
      <c r="H22" s="523">
        <v>0.18404907975460122</v>
      </c>
      <c r="I22" s="523">
        <v>1.8404907975460124E-2</v>
      </c>
      <c r="J22" s="523">
        <v>0.21472392638036811</v>
      </c>
      <c r="K22" s="162">
        <v>105</v>
      </c>
      <c r="L22" s="524">
        <v>628418.54811585671</v>
      </c>
      <c r="M22" s="524">
        <v>0</v>
      </c>
      <c r="N22" s="524">
        <v>628418.54811585671</v>
      </c>
      <c r="O22" s="525">
        <v>437500</v>
      </c>
      <c r="P22" s="525">
        <v>395049.03749370179</v>
      </c>
      <c r="Q22" s="107" t="s">
        <v>62</v>
      </c>
      <c r="R22" s="65">
        <v>222589.94307614127</v>
      </c>
      <c r="S22" s="88"/>
      <c r="T22" s="619"/>
      <c r="U22" s="619"/>
      <c r="V22" s="610"/>
      <c r="W22" s="610"/>
      <c r="X22" s="610"/>
      <c r="Y22" s="610"/>
      <c r="Z22" s="610"/>
      <c r="AA22" s="610"/>
      <c r="AB22" s="610"/>
      <c r="AC22" s="610"/>
      <c r="AD22" s="610"/>
      <c r="AE22" s="610"/>
      <c r="AF22" s="610"/>
      <c r="AG22" s="610"/>
      <c r="AH22" s="15"/>
      <c r="AI22" s="15"/>
      <c r="AJ22" s="15"/>
      <c r="AK22" s="15"/>
      <c r="AL22" s="15"/>
      <c r="AM22" s="15"/>
      <c r="AN22" s="15"/>
      <c r="AO22" s="15"/>
      <c r="AP22" s="15"/>
      <c r="AQ22" s="15"/>
      <c r="AR22" s="15"/>
      <c r="AS22" s="15"/>
      <c r="AT22" s="15"/>
      <c r="AU22" s="15"/>
      <c r="AV22" s="15"/>
      <c r="AW22" s="15"/>
      <c r="AX22" s="15"/>
      <c r="AY22" s="15"/>
      <c r="AZ22" s="15"/>
      <c r="BA22" s="15"/>
      <c r="BB22" s="15"/>
      <c r="BC22" s="15"/>
      <c r="BD22" s="15"/>
    </row>
    <row r="23" spans="1:56" x14ac:dyDescent="0.25">
      <c r="A23" s="78"/>
      <c r="B23" s="15"/>
      <c r="C23" s="64"/>
      <c r="D23" s="87"/>
      <c r="E23" s="87"/>
      <c r="F23" s="15"/>
      <c r="G23" s="87"/>
      <c r="H23" s="87"/>
      <c r="I23" s="87"/>
      <c r="J23" s="87"/>
      <c r="K23" s="87"/>
      <c r="L23" s="88"/>
      <c r="M23" s="15"/>
      <c r="N23" s="65"/>
      <c r="O23" s="65"/>
      <c r="P23" s="65"/>
      <c r="Q23" s="107" t="s">
        <v>62</v>
      </c>
      <c r="R23" s="88"/>
      <c r="S23" s="88"/>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row>
    <row r="24" spans="1:56" ht="13" x14ac:dyDescent="0.3">
      <c r="A24" s="34" t="s">
        <v>727</v>
      </c>
      <c r="B24" s="15"/>
      <c r="C24" s="64"/>
      <c r="D24" s="87"/>
      <c r="E24" s="87"/>
      <c r="F24" s="87"/>
      <c r="G24" s="87"/>
      <c r="H24" s="87"/>
      <c r="I24" s="87"/>
      <c r="J24" s="87"/>
      <c r="K24" s="88"/>
      <c r="L24" s="88"/>
      <c r="M24" s="107" t="s">
        <v>62</v>
      </c>
      <c r="N24" s="65"/>
      <c r="O24" s="65"/>
      <c r="P24" s="65"/>
      <c r="Q24" s="65"/>
      <c r="R24" s="88"/>
      <c r="S24" s="88"/>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row>
    <row r="25" spans="1:56" x14ac:dyDescent="0.25">
      <c r="A25" s="78"/>
      <c r="B25" s="15"/>
      <c r="C25" s="64"/>
      <c r="D25" s="87"/>
      <c r="E25" s="87"/>
      <c r="F25" s="87"/>
      <c r="G25" s="87"/>
      <c r="H25" s="87"/>
      <c r="I25" s="87"/>
      <c r="J25" s="87"/>
      <c r="K25" s="35" t="s">
        <v>726</v>
      </c>
      <c r="L25" s="88"/>
      <c r="M25" s="88"/>
      <c r="N25" s="65"/>
      <c r="O25" s="1108" t="s">
        <v>77</v>
      </c>
      <c r="P25" s="1109"/>
      <c r="Q25" s="65"/>
      <c r="R25" s="88"/>
      <c r="S25" s="88"/>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row>
    <row r="26" spans="1:56" ht="37.5" x14ac:dyDescent="0.25">
      <c r="A26" s="85" t="s">
        <v>48</v>
      </c>
      <c r="B26" s="67" t="s">
        <v>49</v>
      </c>
      <c r="C26" s="68" t="s">
        <v>50</v>
      </c>
      <c r="D26" s="64" t="s">
        <v>280</v>
      </c>
      <c r="E26" s="64" t="s">
        <v>281</v>
      </c>
      <c r="F26" s="64" t="s">
        <v>282</v>
      </c>
      <c r="G26" s="64" t="s">
        <v>283</v>
      </c>
      <c r="H26" s="64" t="s">
        <v>284</v>
      </c>
      <c r="I26" s="64" t="s">
        <v>285</v>
      </c>
      <c r="J26" s="64" t="s">
        <v>286</v>
      </c>
      <c r="K26" s="73" t="s">
        <v>88</v>
      </c>
      <c r="L26" s="73" t="s">
        <v>89</v>
      </c>
      <c r="M26" s="73" t="s">
        <v>90</v>
      </c>
      <c r="N26" s="73" t="s">
        <v>89</v>
      </c>
      <c r="O26" s="91" t="s">
        <v>91</v>
      </c>
      <c r="P26" s="110" t="s">
        <v>92</v>
      </c>
      <c r="Q26" s="73"/>
      <c r="R26" s="73"/>
      <c r="S26" s="91"/>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row>
    <row r="27" spans="1:56" x14ac:dyDescent="0.25">
      <c r="A27" s="74">
        <v>9257010</v>
      </c>
      <c r="B27" s="67" t="s">
        <v>439</v>
      </c>
      <c r="C27" s="121">
        <v>5</v>
      </c>
      <c r="D27" s="523">
        <v>6.1224489795918366E-2</v>
      </c>
      <c r="E27" s="523">
        <v>0.42857142857142855</v>
      </c>
      <c r="F27" s="523">
        <v>7.1428571428571425E-2</v>
      </c>
      <c r="G27" s="523">
        <v>0.1326530612244898</v>
      </c>
      <c r="H27" s="523">
        <v>8.1632653061224483E-2</v>
      </c>
      <c r="I27" s="523">
        <v>0.11224489795918367</v>
      </c>
      <c r="J27" s="523">
        <v>0.11224489795918367</v>
      </c>
      <c r="K27" s="162">
        <v>10</v>
      </c>
      <c r="L27" s="524">
        <v>41927.830121706415</v>
      </c>
      <c r="M27" s="524">
        <v>0</v>
      </c>
      <c r="N27" s="524">
        <v>41927.830121706415</v>
      </c>
      <c r="O27" s="525">
        <v>33333.333333333328</v>
      </c>
      <c r="P27" s="525">
        <v>26188.654058050983</v>
      </c>
      <c r="Q27" s="65"/>
      <c r="R27" s="65">
        <v>8865.2787546415948</v>
      </c>
      <c r="S27" s="88"/>
      <c r="T27" s="65"/>
      <c r="U27" s="65"/>
      <c r="V27" s="105"/>
      <c r="W27" s="104"/>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row>
    <row r="28" spans="1:56" x14ac:dyDescent="0.25">
      <c r="A28" s="74">
        <v>9257005</v>
      </c>
      <c r="B28" s="67" t="s">
        <v>63</v>
      </c>
      <c r="C28" s="121">
        <v>4</v>
      </c>
      <c r="D28" s="523">
        <v>5.8139534883720929E-2</v>
      </c>
      <c r="E28" s="523">
        <v>0.38372093023255816</v>
      </c>
      <c r="F28" s="523">
        <v>9.3023255813953487E-2</v>
      </c>
      <c r="G28" s="523">
        <v>0.13953488372093023</v>
      </c>
      <c r="H28" s="523">
        <v>0.11627906976744186</v>
      </c>
      <c r="I28" s="523">
        <v>0.15116279069767441</v>
      </c>
      <c r="J28" s="523">
        <v>5.8139534883720929E-2</v>
      </c>
      <c r="K28" s="162">
        <v>28</v>
      </c>
      <c r="L28" s="524">
        <v>117066.59909232882</v>
      </c>
      <c r="M28" s="524">
        <v>0</v>
      </c>
      <c r="N28" s="524">
        <v>117066.59909232882</v>
      </c>
      <c r="O28" s="525">
        <v>93333.333333333328</v>
      </c>
      <c r="P28" s="525">
        <v>82475.885514404683</v>
      </c>
      <c r="Q28" s="65"/>
      <c r="R28" s="65">
        <v>12857.465593412546</v>
      </c>
      <c r="S28" s="88"/>
      <c r="T28" s="65"/>
      <c r="U28" s="65"/>
      <c r="V28" s="6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row>
    <row r="29" spans="1:56" x14ac:dyDescent="0.25">
      <c r="A29" s="74">
        <v>9257025</v>
      </c>
      <c r="B29" s="67" t="s">
        <v>64</v>
      </c>
      <c r="C29" s="121">
        <v>4</v>
      </c>
      <c r="D29" s="523">
        <v>0.13924050632911392</v>
      </c>
      <c r="E29" s="523">
        <v>0.46835443037974683</v>
      </c>
      <c r="F29" s="523">
        <v>3.7974683544303799E-2</v>
      </c>
      <c r="G29" s="523">
        <v>0.11392405063291139</v>
      </c>
      <c r="H29" s="523">
        <v>3.7974683544303799E-2</v>
      </c>
      <c r="I29" s="523">
        <v>0.15189873417721519</v>
      </c>
      <c r="J29" s="523">
        <v>5.0632911392405063E-2</v>
      </c>
      <c r="K29" s="162">
        <v>24</v>
      </c>
      <c r="L29" s="524">
        <v>88900.711412250937</v>
      </c>
      <c r="M29" s="524">
        <v>0</v>
      </c>
      <c r="N29" s="524">
        <v>88900.711412250937</v>
      </c>
      <c r="O29" s="525">
        <v>80000</v>
      </c>
      <c r="P29" s="525">
        <v>58404.897751271259</v>
      </c>
      <c r="Q29" s="65"/>
      <c r="R29" s="65">
        <v>9597.7609348294736</v>
      </c>
      <c r="S29" s="88"/>
      <c r="T29" s="65"/>
      <c r="U29" s="65"/>
      <c r="V29" s="6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1:56" x14ac:dyDescent="0.25">
      <c r="A30" s="74">
        <v>9257024</v>
      </c>
      <c r="B30" s="67" t="s">
        <v>66</v>
      </c>
      <c r="C30" s="121">
        <v>4</v>
      </c>
      <c r="D30" s="523">
        <v>7.1428571428571425E-2</v>
      </c>
      <c r="E30" s="523">
        <v>0.51190476190476186</v>
      </c>
      <c r="F30" s="523">
        <v>2.3809523809523808E-2</v>
      </c>
      <c r="G30" s="523">
        <v>0.17857142857142858</v>
      </c>
      <c r="H30" s="523">
        <v>8.3333333333333329E-2</v>
      </c>
      <c r="I30" s="523">
        <v>7.1428571428571425E-2</v>
      </c>
      <c r="J30" s="523">
        <v>5.9523809523809521E-2</v>
      </c>
      <c r="K30" s="162">
        <v>13</v>
      </c>
      <c r="L30" s="524">
        <v>49287.970540483162</v>
      </c>
      <c r="M30" s="524">
        <v>0</v>
      </c>
      <c r="N30" s="524">
        <v>49287.970540483162</v>
      </c>
      <c r="O30" s="525">
        <v>43333.333333333328</v>
      </c>
      <c r="P30" s="525">
        <v>32375.763865917717</v>
      </c>
      <c r="Q30" s="65"/>
      <c r="R30" s="65">
        <v>6111.6694444877648</v>
      </c>
      <c r="S30" s="88"/>
      <c r="T30" s="65"/>
      <c r="U30" s="65"/>
      <c r="V30" s="6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1:56" x14ac:dyDescent="0.25">
      <c r="A31" s="74">
        <v>9257031</v>
      </c>
      <c r="B31" s="67" t="s">
        <v>84</v>
      </c>
      <c r="C31" s="121">
        <v>5</v>
      </c>
      <c r="D31" s="523">
        <v>0</v>
      </c>
      <c r="E31" s="523">
        <v>0</v>
      </c>
      <c r="F31" s="523">
        <v>1</v>
      </c>
      <c r="G31" s="523">
        <v>0</v>
      </c>
      <c r="H31" s="523">
        <v>0</v>
      </c>
      <c r="I31" s="523">
        <v>0</v>
      </c>
      <c r="J31" s="523">
        <v>0</v>
      </c>
      <c r="K31" s="162">
        <v>0</v>
      </c>
      <c r="L31" s="524">
        <v>0</v>
      </c>
      <c r="M31" s="524">
        <v>0</v>
      </c>
      <c r="N31" s="524">
        <v>0</v>
      </c>
      <c r="O31" s="525">
        <v>0</v>
      </c>
      <c r="P31" s="525">
        <v>0</v>
      </c>
      <c r="Q31" s="65"/>
      <c r="R31" s="65">
        <v>0</v>
      </c>
      <c r="S31" s="88"/>
      <c r="T31" s="65"/>
      <c r="U31" s="65"/>
      <c r="V31" s="6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1:56" x14ac:dyDescent="0.25">
      <c r="A32" s="74">
        <v>9257033</v>
      </c>
      <c r="B32" s="67" t="s">
        <v>74</v>
      </c>
      <c r="C32" s="121" t="s">
        <v>451</v>
      </c>
      <c r="D32" s="523">
        <v>0.1388888888888889</v>
      </c>
      <c r="E32" s="523">
        <v>0.62962962962962965</v>
      </c>
      <c r="F32" s="523">
        <v>4.6296296296296294E-2</v>
      </c>
      <c r="G32" s="523">
        <v>0.10185185185185185</v>
      </c>
      <c r="H32" s="523">
        <v>3.7037037037037035E-2</v>
      </c>
      <c r="I32" s="523">
        <v>3.7037037037037035E-2</v>
      </c>
      <c r="J32" s="523">
        <v>9.2592592592592587E-3</v>
      </c>
      <c r="K32" s="162">
        <v>0</v>
      </c>
      <c r="L32" s="524">
        <v>0</v>
      </c>
      <c r="M32" s="524">
        <v>0</v>
      </c>
      <c r="N32" s="524">
        <v>0</v>
      </c>
      <c r="O32" s="525">
        <v>0</v>
      </c>
      <c r="P32" s="525">
        <v>0</v>
      </c>
      <c r="Q32" s="65"/>
      <c r="R32" s="65">
        <v>0</v>
      </c>
      <c r="S32" s="88"/>
      <c r="T32" s="65"/>
      <c r="U32" s="65"/>
      <c r="V32" s="6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1:56" x14ac:dyDescent="0.25">
      <c r="A33" s="74">
        <v>9257008</v>
      </c>
      <c r="B33" s="67" t="s">
        <v>67</v>
      </c>
      <c r="C33" s="121">
        <v>4</v>
      </c>
      <c r="D33" s="523">
        <v>0.11</v>
      </c>
      <c r="E33" s="523">
        <v>0.64</v>
      </c>
      <c r="F33" s="523">
        <v>7.0000000000000007E-2</v>
      </c>
      <c r="G33" s="523">
        <v>0.09</v>
      </c>
      <c r="H33" s="523">
        <v>0</v>
      </c>
      <c r="I33" s="523">
        <v>0.09</v>
      </c>
      <c r="J33" s="523">
        <v>0</v>
      </c>
      <c r="K33" s="162">
        <v>0</v>
      </c>
      <c r="L33" s="524">
        <v>0</v>
      </c>
      <c r="M33" s="524">
        <v>0</v>
      </c>
      <c r="N33" s="524">
        <v>0</v>
      </c>
      <c r="O33" s="525">
        <v>0</v>
      </c>
      <c r="P33" s="525">
        <v>0</v>
      </c>
      <c r="Q33" s="65"/>
      <c r="R33" s="65">
        <v>0</v>
      </c>
      <c r="S33" s="88"/>
      <c r="T33" s="65"/>
      <c r="U33" s="65"/>
      <c r="V33" s="6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1:56" x14ac:dyDescent="0.25">
      <c r="A34" s="74">
        <v>9257034</v>
      </c>
      <c r="B34" s="67" t="s">
        <v>75</v>
      </c>
      <c r="C34" s="121" t="s">
        <v>451</v>
      </c>
      <c r="D34" s="523">
        <v>0.44444444444444442</v>
      </c>
      <c r="E34" s="523">
        <v>0.32407407407407407</v>
      </c>
      <c r="F34" s="523">
        <v>9.2592592592592587E-2</v>
      </c>
      <c r="G34" s="523">
        <v>4.6296296296296294E-2</v>
      </c>
      <c r="H34" s="523">
        <v>2.7777777777777776E-2</v>
      </c>
      <c r="I34" s="523">
        <v>5.5555555555555552E-2</v>
      </c>
      <c r="J34" s="523">
        <v>9.2592592592592587E-3</v>
      </c>
      <c r="K34" s="162">
        <v>32</v>
      </c>
      <c r="L34" s="524">
        <v>96254.949581298948</v>
      </c>
      <c r="M34" s="524">
        <v>0</v>
      </c>
      <c r="N34" s="524">
        <v>96254.949581298948</v>
      </c>
      <c r="O34" s="525">
        <v>106666.66666666666</v>
      </c>
      <c r="P34" s="525">
        <v>42302.60624924735</v>
      </c>
      <c r="Q34" s="65"/>
      <c r="R34" s="65">
        <v>2340.1947958380501</v>
      </c>
      <c r="S34" s="88"/>
      <c r="T34" s="65"/>
      <c r="U34" s="65"/>
      <c r="V34" s="6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1:56" x14ac:dyDescent="0.25">
      <c r="A35" s="74">
        <v>9257002</v>
      </c>
      <c r="B35" s="67" t="s">
        <v>68</v>
      </c>
      <c r="C35" s="121">
        <v>5</v>
      </c>
      <c r="D35" s="523">
        <v>0.33557046979865773</v>
      </c>
      <c r="E35" s="523">
        <v>0.38926174496644295</v>
      </c>
      <c r="F35" s="523">
        <v>0.13422818791946309</v>
      </c>
      <c r="G35" s="523">
        <v>3.3557046979865772E-2</v>
      </c>
      <c r="H35" s="523">
        <v>2.0134228187919462E-2</v>
      </c>
      <c r="I35" s="523">
        <v>7.3825503355704702E-2</v>
      </c>
      <c r="J35" s="523">
        <v>1.3422818791946308E-2</v>
      </c>
      <c r="K35" s="162">
        <v>0</v>
      </c>
      <c r="L35" s="524">
        <v>0</v>
      </c>
      <c r="M35" s="524">
        <v>0</v>
      </c>
      <c r="N35" s="524">
        <v>0</v>
      </c>
      <c r="O35" s="525">
        <v>0</v>
      </c>
      <c r="P35" s="525">
        <v>0</v>
      </c>
      <c r="Q35" s="65"/>
      <c r="R35" s="65">
        <v>0</v>
      </c>
      <c r="S35" s="88"/>
      <c r="T35" s="65"/>
      <c r="U35" s="65"/>
      <c r="V35" s="6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row>
    <row r="36" spans="1:56" x14ac:dyDescent="0.25">
      <c r="A36" s="74">
        <v>9257009</v>
      </c>
      <c r="B36" s="67" t="s">
        <v>69</v>
      </c>
      <c r="C36" s="121" t="s">
        <v>451</v>
      </c>
      <c r="D36" s="523">
        <v>0.16728126399462603</v>
      </c>
      <c r="E36" s="523">
        <v>0.5331117367060082</v>
      </c>
      <c r="F36" s="523">
        <v>5.951180875576037E-2</v>
      </c>
      <c r="G36" s="523">
        <v>7.4766176884850405E-2</v>
      </c>
      <c r="H36" s="523">
        <v>3.7220400914435951E-2</v>
      </c>
      <c r="I36" s="523">
        <v>8.0393258021177944E-2</v>
      </c>
      <c r="J36" s="523">
        <v>4.7715354723141153E-2</v>
      </c>
      <c r="K36" s="162">
        <v>8</v>
      </c>
      <c r="L36" s="524">
        <v>27329.373233687384</v>
      </c>
      <c r="M36" s="524">
        <v>0</v>
      </c>
      <c r="N36" s="524">
        <v>27329.373233687384</v>
      </c>
      <c r="O36" s="525">
        <v>26666.666666666664</v>
      </c>
      <c r="P36" s="525">
        <v>10877.610948948883</v>
      </c>
      <c r="Q36" s="65"/>
      <c r="R36" s="65">
        <v>3014.9070697258599</v>
      </c>
      <c r="S36" s="88"/>
      <c r="T36" s="65"/>
      <c r="U36" s="65"/>
      <c r="V36" s="6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row>
    <row r="37" spans="1:56" x14ac:dyDescent="0.25">
      <c r="A37" s="74">
        <v>9257029</v>
      </c>
      <c r="B37" s="67" t="s">
        <v>278</v>
      </c>
      <c r="C37" s="121" t="s">
        <v>452</v>
      </c>
      <c r="D37" s="523">
        <v>0</v>
      </c>
      <c r="E37" s="523">
        <v>0</v>
      </c>
      <c r="F37" s="523">
        <v>1</v>
      </c>
      <c r="G37" s="523">
        <v>0</v>
      </c>
      <c r="H37" s="523">
        <v>0</v>
      </c>
      <c r="I37" s="523">
        <v>0</v>
      </c>
      <c r="J37" s="523">
        <v>0</v>
      </c>
      <c r="K37" s="162">
        <v>0</v>
      </c>
      <c r="L37" s="524">
        <v>0</v>
      </c>
      <c r="M37" s="524">
        <v>0</v>
      </c>
      <c r="N37" s="524">
        <v>0</v>
      </c>
      <c r="O37" s="525">
        <v>0</v>
      </c>
      <c r="P37" s="525">
        <v>0</v>
      </c>
      <c r="Q37" s="65"/>
      <c r="R37" s="65">
        <v>0</v>
      </c>
      <c r="S37" s="88"/>
      <c r="T37" s="65"/>
      <c r="U37" s="65"/>
      <c r="V37" s="6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row>
    <row r="38" spans="1:56" x14ac:dyDescent="0.25">
      <c r="A38" s="74">
        <v>9257032</v>
      </c>
      <c r="B38" s="67" t="s">
        <v>380</v>
      </c>
      <c r="C38" s="121" t="s">
        <v>452</v>
      </c>
      <c r="D38" s="523">
        <v>0</v>
      </c>
      <c r="E38" s="523">
        <v>0</v>
      </c>
      <c r="F38" s="523">
        <v>1</v>
      </c>
      <c r="G38" s="523">
        <v>0</v>
      </c>
      <c r="H38" s="523">
        <v>0</v>
      </c>
      <c r="I38" s="523">
        <v>0</v>
      </c>
      <c r="J38" s="523">
        <v>0</v>
      </c>
      <c r="K38" s="162">
        <v>0</v>
      </c>
      <c r="L38" s="524">
        <v>0</v>
      </c>
      <c r="M38" s="524">
        <v>0</v>
      </c>
      <c r="N38" s="524">
        <v>0</v>
      </c>
      <c r="O38" s="525">
        <v>0</v>
      </c>
      <c r="P38" s="525">
        <v>0</v>
      </c>
      <c r="Q38" s="65"/>
      <c r="R38" s="65">
        <v>0</v>
      </c>
      <c r="S38" s="88"/>
      <c r="T38" s="65"/>
      <c r="U38" s="65"/>
      <c r="V38" s="6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row>
    <row r="39" spans="1:56" x14ac:dyDescent="0.25">
      <c r="A39" s="74">
        <v>9257030</v>
      </c>
      <c r="B39" s="67" t="s">
        <v>383</v>
      </c>
      <c r="C39" s="121" t="s">
        <v>452</v>
      </c>
      <c r="D39" s="523">
        <v>0</v>
      </c>
      <c r="E39" s="523">
        <v>0</v>
      </c>
      <c r="F39" s="523">
        <v>1</v>
      </c>
      <c r="G39" s="523">
        <v>0</v>
      </c>
      <c r="H39" s="523">
        <v>0</v>
      </c>
      <c r="I39" s="523">
        <v>0</v>
      </c>
      <c r="J39" s="523">
        <v>0</v>
      </c>
      <c r="K39" s="162">
        <v>0</v>
      </c>
      <c r="L39" s="524">
        <v>0</v>
      </c>
      <c r="M39" s="524">
        <v>0</v>
      </c>
      <c r="N39" s="524">
        <v>0</v>
      </c>
      <c r="O39" s="525">
        <v>0</v>
      </c>
      <c r="P39" s="525">
        <v>0</v>
      </c>
      <c r="Q39" s="65"/>
      <c r="R39" s="65">
        <v>0</v>
      </c>
      <c r="S39" s="88"/>
      <c r="T39" s="65"/>
      <c r="U39" s="65"/>
      <c r="V39" s="6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row>
    <row r="40" spans="1:56" x14ac:dyDescent="0.25">
      <c r="A40" s="74">
        <v>9257028</v>
      </c>
      <c r="B40" s="67" t="s">
        <v>70</v>
      </c>
      <c r="C40" s="121">
        <v>5</v>
      </c>
      <c r="D40" s="523">
        <v>9.2436974789915971E-2</v>
      </c>
      <c r="E40" s="523">
        <v>0.44537815126050423</v>
      </c>
      <c r="F40" s="523">
        <v>7.5630252100840331E-2</v>
      </c>
      <c r="G40" s="523">
        <v>9.2436974789915971E-2</v>
      </c>
      <c r="H40" s="523">
        <v>9.2436974789915971E-2</v>
      </c>
      <c r="I40" s="523">
        <v>7.5630252100840331E-2</v>
      </c>
      <c r="J40" s="523">
        <v>0.12605042016806722</v>
      </c>
      <c r="K40" s="162">
        <v>5</v>
      </c>
      <c r="L40" s="524">
        <v>20399.893940398149</v>
      </c>
      <c r="M40" s="524">
        <v>0</v>
      </c>
      <c r="N40" s="524">
        <v>20399.893940398149</v>
      </c>
      <c r="O40" s="525">
        <v>16666.666666666664</v>
      </c>
      <c r="P40" s="525">
        <v>12116.573008176638</v>
      </c>
      <c r="Q40" s="65"/>
      <c r="R40" s="65">
        <v>4977.8303167773656</v>
      </c>
      <c r="S40" s="88"/>
      <c r="T40" s="65"/>
      <c r="U40" s="65"/>
      <c r="V40" s="6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row>
    <row r="41" spans="1:56" x14ac:dyDescent="0.25">
      <c r="A41" s="74">
        <v>9257021</v>
      </c>
      <c r="B41" s="67" t="s">
        <v>71</v>
      </c>
      <c r="C41" s="121" t="s">
        <v>453</v>
      </c>
      <c r="D41" s="523">
        <v>0.25146198830409355</v>
      </c>
      <c r="E41" s="523">
        <v>0.47368421052631576</v>
      </c>
      <c r="F41" s="523">
        <v>9.3567251461988299E-2</v>
      </c>
      <c r="G41" s="523">
        <v>7.6023391812865493E-2</v>
      </c>
      <c r="H41" s="523">
        <v>3.5087719298245612E-2</v>
      </c>
      <c r="I41" s="523">
        <v>5.8479532163742687E-2</v>
      </c>
      <c r="J41" s="523">
        <v>1.1695906432748537E-2</v>
      </c>
      <c r="K41" s="162">
        <v>0</v>
      </c>
      <c r="L41" s="524">
        <v>0</v>
      </c>
      <c r="M41" s="524">
        <v>0</v>
      </c>
      <c r="N41" s="524">
        <v>0</v>
      </c>
      <c r="O41" s="525">
        <v>0</v>
      </c>
      <c r="P41" s="525">
        <v>0</v>
      </c>
      <c r="Q41" s="65"/>
      <c r="R41" s="65">
        <v>0</v>
      </c>
      <c r="S41" s="88"/>
      <c r="T41" s="65"/>
      <c r="U41" s="65"/>
      <c r="V41" s="6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1:56" x14ac:dyDescent="0.25">
      <c r="A42" s="74">
        <v>9257015</v>
      </c>
      <c r="B42" s="67" t="s">
        <v>72</v>
      </c>
      <c r="C42" s="121" t="s">
        <v>454</v>
      </c>
      <c r="D42" s="523">
        <v>0.31555555555555553</v>
      </c>
      <c r="E42" s="523">
        <v>0.38666666666666666</v>
      </c>
      <c r="F42" s="523">
        <v>1.7777777777777778E-2</v>
      </c>
      <c r="G42" s="523">
        <v>9.3333333333333338E-2</v>
      </c>
      <c r="H42" s="523">
        <v>1.7777777777777778E-2</v>
      </c>
      <c r="I42" s="523">
        <v>0.16</v>
      </c>
      <c r="J42" s="523">
        <v>8.8888888888888889E-3</v>
      </c>
      <c r="K42" s="162">
        <v>3</v>
      </c>
      <c r="L42" s="524">
        <v>9831.6378493970897</v>
      </c>
      <c r="M42" s="524">
        <v>0</v>
      </c>
      <c r="N42" s="524">
        <v>9831.6378493970897</v>
      </c>
      <c r="O42" s="525">
        <v>10000</v>
      </c>
      <c r="P42" s="525">
        <v>3279.3151120902494</v>
      </c>
      <c r="Q42" s="65"/>
      <c r="R42" s="65">
        <v>210.61753162542456</v>
      </c>
      <c r="S42" s="88"/>
      <c r="T42" s="65"/>
      <c r="U42" s="65"/>
      <c r="V42" s="6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1:56" x14ac:dyDescent="0.25">
      <c r="A43" s="74">
        <v>9257016</v>
      </c>
      <c r="B43" s="67" t="s">
        <v>73</v>
      </c>
      <c r="C43" s="121" t="s">
        <v>454</v>
      </c>
      <c r="D43" s="523">
        <v>0.15337423312883436</v>
      </c>
      <c r="E43" s="523">
        <v>0.19018404907975461</v>
      </c>
      <c r="F43" s="523">
        <v>1.2269938650306749E-2</v>
      </c>
      <c r="G43" s="523">
        <v>0.22699386503067484</v>
      </c>
      <c r="H43" s="523">
        <v>0.18404907975460122</v>
      </c>
      <c r="I43" s="523">
        <v>1.8404907975460124E-2</v>
      </c>
      <c r="J43" s="523">
        <v>0.21472392638036811</v>
      </c>
      <c r="K43" s="162">
        <v>59</v>
      </c>
      <c r="L43" s="524">
        <v>282489.09972446121</v>
      </c>
      <c r="M43" s="524">
        <v>0</v>
      </c>
      <c r="N43" s="524">
        <v>282489.09972446121</v>
      </c>
      <c r="O43" s="525">
        <v>196666.66666666666</v>
      </c>
      <c r="P43" s="525">
        <v>177583.9482828831</v>
      </c>
      <c r="Q43" s="107" t="s">
        <v>62</v>
      </c>
      <c r="R43" s="65">
        <v>100059.47917327494</v>
      </c>
      <c r="S43" s="88"/>
      <c r="T43" s="65"/>
      <c r="U43" s="65"/>
      <c r="V43" s="6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1:56" x14ac:dyDescent="0.25">
      <c r="A44" s="78"/>
      <c r="B44" s="15"/>
      <c r="C44" s="64"/>
      <c r="D44" s="87"/>
      <c r="E44" s="87"/>
      <c r="F44" s="107" t="s">
        <v>62</v>
      </c>
      <c r="G44" s="87"/>
      <c r="H44" s="87"/>
      <c r="I44" s="87"/>
      <c r="J44" s="107" t="s">
        <v>62</v>
      </c>
      <c r="K44" s="15"/>
      <c r="L44" s="88"/>
      <c r="M44" s="88"/>
      <c r="N44" s="107" t="s">
        <v>62</v>
      </c>
      <c r="O44" s="65"/>
      <c r="P44" s="65"/>
      <c r="Q44" s="65"/>
      <c r="R44" s="88"/>
      <c r="S44" s="88"/>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1:56" ht="13" x14ac:dyDescent="0.3">
      <c r="A45" s="34" t="s">
        <v>728</v>
      </c>
      <c r="B45" s="15"/>
      <c r="C45" s="15"/>
      <c r="D45" s="15"/>
      <c r="E45" s="15"/>
      <c r="F45" s="15"/>
      <c r="G45" s="15"/>
      <c r="H45" s="15"/>
      <c r="I45" s="15"/>
      <c r="J45" s="15"/>
      <c r="K45" s="64"/>
      <c r="L45" s="64"/>
      <c r="M45" s="15"/>
      <c r="N45" s="15"/>
      <c r="O45" s="15"/>
      <c r="P45" s="15"/>
      <c r="Q45" s="15"/>
      <c r="R45" s="64"/>
      <c r="S45" s="100"/>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1:56" x14ac:dyDescent="0.25">
      <c r="A46" s="15"/>
      <c r="B46" s="15"/>
      <c r="C46" s="15"/>
      <c r="D46" s="15"/>
      <c r="E46" s="15"/>
      <c r="F46" s="15"/>
      <c r="G46" s="15"/>
      <c r="H46" s="15"/>
      <c r="I46" s="15"/>
      <c r="J46" s="15"/>
      <c r="K46" s="35" t="s">
        <v>729</v>
      </c>
      <c r="L46" s="64"/>
      <c r="M46" s="15"/>
      <c r="N46" s="15"/>
      <c r="O46" s="1108" t="s">
        <v>77</v>
      </c>
      <c r="P46" s="1109"/>
      <c r="Q46" s="15"/>
      <c r="R46" s="64"/>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ht="39.75" customHeight="1" x14ac:dyDescent="0.25">
      <c r="A47" s="85" t="s">
        <v>48</v>
      </c>
      <c r="B47" s="67" t="s">
        <v>49</v>
      </c>
      <c r="C47" s="68" t="s">
        <v>50</v>
      </c>
      <c r="D47" s="64" t="s">
        <v>280</v>
      </c>
      <c r="E47" s="64" t="s">
        <v>281</v>
      </c>
      <c r="F47" s="64" t="s">
        <v>282</v>
      </c>
      <c r="G47" s="64" t="s">
        <v>283</v>
      </c>
      <c r="H47" s="64" t="s">
        <v>284</v>
      </c>
      <c r="I47" s="64" t="s">
        <v>285</v>
      </c>
      <c r="J47" s="64" t="s">
        <v>286</v>
      </c>
      <c r="K47" s="73" t="s">
        <v>78</v>
      </c>
      <c r="L47" s="73" t="s">
        <v>93</v>
      </c>
      <c r="M47" s="73" t="s">
        <v>94</v>
      </c>
      <c r="N47" s="73" t="s">
        <v>95</v>
      </c>
      <c r="O47" s="92" t="s">
        <v>96</v>
      </c>
      <c r="P47" s="110" t="s">
        <v>97</v>
      </c>
      <c r="Q47" s="15"/>
      <c r="R47" s="64"/>
      <c r="S47" s="100"/>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x14ac:dyDescent="0.25">
      <c r="A48" s="74">
        <v>9257010</v>
      </c>
      <c r="B48" s="67" t="s">
        <v>439</v>
      </c>
      <c r="C48" s="121">
        <v>5</v>
      </c>
      <c r="D48" s="523">
        <v>6.1224489795918366E-2</v>
      </c>
      <c r="E48" s="523">
        <v>0.42857142857142855</v>
      </c>
      <c r="F48" s="523">
        <v>7.1428571428571425E-2</v>
      </c>
      <c r="G48" s="523">
        <v>0.1326530612244898</v>
      </c>
      <c r="H48" s="523">
        <v>8.1632653061224483E-2</v>
      </c>
      <c r="I48" s="523">
        <v>0.11224489795918367</v>
      </c>
      <c r="J48" s="523">
        <v>0.11224489795918367</v>
      </c>
      <c r="K48" s="162">
        <v>114</v>
      </c>
      <c r="L48" s="524">
        <v>836460.210928043</v>
      </c>
      <c r="M48" s="524">
        <v>0</v>
      </c>
      <c r="N48" s="524">
        <v>836460.210928043</v>
      </c>
      <c r="O48" s="525">
        <v>665000</v>
      </c>
      <c r="P48" s="525">
        <v>522463.64845811721</v>
      </c>
      <c r="Q48" s="65"/>
      <c r="R48" s="65">
        <v>176862.3111550998</v>
      </c>
      <c r="S48" s="63"/>
      <c r="T48" s="104"/>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x14ac:dyDescent="0.25">
      <c r="A49" s="74">
        <v>9257005</v>
      </c>
      <c r="B49" s="67" t="s">
        <v>63</v>
      </c>
      <c r="C49" s="121">
        <v>4</v>
      </c>
      <c r="D49" s="523">
        <v>5.8139534883720929E-2</v>
      </c>
      <c r="E49" s="523">
        <v>0.38372093023255816</v>
      </c>
      <c r="F49" s="523">
        <v>9.3023255813953487E-2</v>
      </c>
      <c r="G49" s="523">
        <v>0.13953488372093023</v>
      </c>
      <c r="H49" s="523">
        <v>0.11627906976744186</v>
      </c>
      <c r="I49" s="523">
        <v>0.15116279069767441</v>
      </c>
      <c r="J49" s="523">
        <v>5.8139534883720929E-2</v>
      </c>
      <c r="K49" s="162">
        <v>59</v>
      </c>
      <c r="L49" s="524">
        <v>431683.08415296261</v>
      </c>
      <c r="M49" s="524">
        <v>0</v>
      </c>
      <c r="N49" s="524">
        <v>431683.08415296261</v>
      </c>
      <c r="O49" s="525">
        <v>344166.66666666669</v>
      </c>
      <c r="P49" s="525">
        <v>304129.82783436729</v>
      </c>
      <c r="Q49" s="65"/>
      <c r="R49" s="65">
        <v>47411.904375708757</v>
      </c>
      <c r="S49" s="88"/>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x14ac:dyDescent="0.25">
      <c r="A50" s="74">
        <v>9257025</v>
      </c>
      <c r="B50" s="67" t="s">
        <v>64</v>
      </c>
      <c r="C50" s="121">
        <v>4</v>
      </c>
      <c r="D50" s="523">
        <v>0.13924050632911392</v>
      </c>
      <c r="E50" s="523">
        <v>0.46835443037974683</v>
      </c>
      <c r="F50" s="523">
        <v>3.7974683544303799E-2</v>
      </c>
      <c r="G50" s="523">
        <v>0.11392405063291139</v>
      </c>
      <c r="H50" s="523">
        <v>3.7974683544303799E-2</v>
      </c>
      <c r="I50" s="523">
        <v>0.15189873417721519</v>
      </c>
      <c r="J50" s="523">
        <v>5.0632911392405063E-2</v>
      </c>
      <c r="K50" s="162">
        <v>65</v>
      </c>
      <c r="L50" s="524">
        <v>421352.33013098105</v>
      </c>
      <c r="M50" s="524">
        <v>0</v>
      </c>
      <c r="N50" s="524">
        <v>421352.33013098105</v>
      </c>
      <c r="O50" s="525">
        <v>379166.66666666669</v>
      </c>
      <c r="P50" s="525">
        <v>276814.87996696273</v>
      </c>
      <c r="Q50" s="65"/>
      <c r="R50" s="65">
        <v>45489.38776403552</v>
      </c>
      <c r="S50" s="88"/>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x14ac:dyDescent="0.25">
      <c r="A51" s="74">
        <v>9257024</v>
      </c>
      <c r="B51" s="67" t="s">
        <v>66</v>
      </c>
      <c r="C51" s="121">
        <v>4</v>
      </c>
      <c r="D51" s="523">
        <v>7.1428571428571425E-2</v>
      </c>
      <c r="E51" s="523">
        <v>0.51190476190476186</v>
      </c>
      <c r="F51" s="523">
        <v>2.3809523809523808E-2</v>
      </c>
      <c r="G51" s="523">
        <v>0.17857142857142858</v>
      </c>
      <c r="H51" s="523">
        <v>8.3333333333333329E-2</v>
      </c>
      <c r="I51" s="523">
        <v>7.1428571428571425E-2</v>
      </c>
      <c r="J51" s="523">
        <v>5.9523809523809521E-2</v>
      </c>
      <c r="K51" s="162">
        <v>75</v>
      </c>
      <c r="L51" s="524">
        <v>497618.93334141659</v>
      </c>
      <c r="M51" s="524">
        <v>0</v>
      </c>
      <c r="N51" s="524">
        <v>497618.93334141659</v>
      </c>
      <c r="O51" s="525">
        <v>437500</v>
      </c>
      <c r="P51" s="525">
        <v>326870.69287705381</v>
      </c>
      <c r="Q51" s="65"/>
      <c r="R51" s="65">
        <v>61704.354968386098</v>
      </c>
      <c r="S51" s="88"/>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x14ac:dyDescent="0.25">
      <c r="A52" s="74">
        <v>9257031</v>
      </c>
      <c r="B52" s="67" t="s">
        <v>84</v>
      </c>
      <c r="C52" s="121">
        <v>5</v>
      </c>
      <c r="D52" s="523">
        <v>0</v>
      </c>
      <c r="E52" s="523">
        <v>0</v>
      </c>
      <c r="F52" s="523">
        <v>1</v>
      </c>
      <c r="G52" s="523">
        <v>0</v>
      </c>
      <c r="H52" s="523">
        <v>0</v>
      </c>
      <c r="I52" s="523">
        <v>0</v>
      </c>
      <c r="J52" s="523">
        <v>0</v>
      </c>
      <c r="K52" s="162">
        <v>80</v>
      </c>
      <c r="L52" s="524">
        <v>705266.62790970039</v>
      </c>
      <c r="M52" s="524">
        <v>0</v>
      </c>
      <c r="N52" s="524">
        <v>705266.62790970039</v>
      </c>
      <c r="O52" s="525">
        <v>466666.66666666669</v>
      </c>
      <c r="P52" s="525">
        <v>534448.59958500264</v>
      </c>
      <c r="Q52" s="65"/>
      <c r="R52" s="65">
        <v>0</v>
      </c>
      <c r="S52" s="88"/>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x14ac:dyDescent="0.25">
      <c r="A53" s="74">
        <v>9257033</v>
      </c>
      <c r="B53" s="67" t="s">
        <v>74</v>
      </c>
      <c r="C53" s="121" t="s">
        <v>451</v>
      </c>
      <c r="D53" s="523">
        <v>0.1388888888888889</v>
      </c>
      <c r="E53" s="523">
        <v>0.62962962962962965</v>
      </c>
      <c r="F53" s="523">
        <v>4.6296296296296294E-2</v>
      </c>
      <c r="G53" s="523">
        <v>0.10185185185185185</v>
      </c>
      <c r="H53" s="523">
        <v>3.7037037037037035E-2</v>
      </c>
      <c r="I53" s="523">
        <v>3.7037037037037035E-2</v>
      </c>
      <c r="J53" s="523">
        <v>9.2592592592592587E-3</v>
      </c>
      <c r="K53" s="162">
        <v>112</v>
      </c>
      <c r="L53" s="524">
        <v>613693.71067006013</v>
      </c>
      <c r="M53" s="524">
        <v>0</v>
      </c>
      <c r="N53" s="524">
        <v>613693.71067006013</v>
      </c>
      <c r="O53" s="525">
        <v>653333.33333333337</v>
      </c>
      <c r="P53" s="525">
        <v>283759.51579826517</v>
      </c>
      <c r="Q53" s="65"/>
      <c r="R53" s="65">
        <v>14333.693124508058</v>
      </c>
      <c r="S53" s="88"/>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x14ac:dyDescent="0.25">
      <c r="A54" s="74">
        <v>9257008</v>
      </c>
      <c r="B54" s="67" t="s">
        <v>67</v>
      </c>
      <c r="C54" s="121">
        <v>4</v>
      </c>
      <c r="D54" s="523">
        <v>0.11</v>
      </c>
      <c r="E54" s="523">
        <v>0.64</v>
      </c>
      <c r="F54" s="523">
        <v>7.0000000000000007E-2</v>
      </c>
      <c r="G54" s="523">
        <v>0.09</v>
      </c>
      <c r="H54" s="523">
        <v>0</v>
      </c>
      <c r="I54" s="523">
        <v>0.09</v>
      </c>
      <c r="J54" s="523">
        <v>0</v>
      </c>
      <c r="K54" s="162">
        <v>101</v>
      </c>
      <c r="L54" s="524">
        <v>562443.40528865857</v>
      </c>
      <c r="M54" s="524">
        <v>0</v>
      </c>
      <c r="N54" s="524">
        <v>562443.40528865857</v>
      </c>
      <c r="O54" s="525">
        <v>589166.66666666674</v>
      </c>
      <c r="P54" s="525">
        <v>275205.61765693367</v>
      </c>
      <c r="Q54" s="65"/>
      <c r="R54" s="65">
        <v>0</v>
      </c>
      <c r="S54" s="88"/>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x14ac:dyDescent="0.25">
      <c r="A55" s="74">
        <v>9257034</v>
      </c>
      <c r="B55" s="67" t="s">
        <v>75</v>
      </c>
      <c r="C55" s="121" t="s">
        <v>451</v>
      </c>
      <c r="D55" s="523">
        <v>0.44444444444444442</v>
      </c>
      <c r="E55" s="523">
        <v>0.32407407407407407</v>
      </c>
      <c r="F55" s="523">
        <v>9.2592592592592587E-2</v>
      </c>
      <c r="G55" s="523">
        <v>4.6296296296296294E-2</v>
      </c>
      <c r="H55" s="523">
        <v>2.7777777777777776E-2</v>
      </c>
      <c r="I55" s="523">
        <v>5.5555555555555552E-2</v>
      </c>
      <c r="J55" s="523">
        <v>9.2592592592592587E-3</v>
      </c>
      <c r="K55" s="162">
        <v>94</v>
      </c>
      <c r="L55" s="524">
        <v>494810.600191365</v>
      </c>
      <c r="M55" s="524">
        <v>0</v>
      </c>
      <c r="N55" s="524">
        <v>494810.600191365</v>
      </c>
      <c r="O55" s="525">
        <v>548333.33333333337</v>
      </c>
      <c r="P55" s="525">
        <v>217461.83525003714</v>
      </c>
      <c r="Q55" s="65"/>
      <c r="R55" s="65">
        <v>12030.063872354978</v>
      </c>
      <c r="S55" s="88"/>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x14ac:dyDescent="0.25">
      <c r="A56" s="74">
        <v>9257002</v>
      </c>
      <c r="B56" s="67" t="s">
        <v>68</v>
      </c>
      <c r="C56" s="121">
        <v>5</v>
      </c>
      <c r="D56" s="523">
        <v>0.33557046979865773</v>
      </c>
      <c r="E56" s="523">
        <v>0.38926174496644295</v>
      </c>
      <c r="F56" s="523">
        <v>0.13422818791946309</v>
      </c>
      <c r="G56" s="523">
        <v>3.3557046979865772E-2</v>
      </c>
      <c r="H56" s="523">
        <v>2.0134228187919462E-2</v>
      </c>
      <c r="I56" s="523">
        <v>7.3825503355704702E-2</v>
      </c>
      <c r="J56" s="523">
        <v>1.3422818791946308E-2</v>
      </c>
      <c r="K56" s="162">
        <v>159</v>
      </c>
      <c r="L56" s="524">
        <v>884648.00045363477</v>
      </c>
      <c r="M56" s="524">
        <v>0</v>
      </c>
      <c r="N56" s="524">
        <v>884648.00045363477</v>
      </c>
      <c r="O56" s="525">
        <v>927500</v>
      </c>
      <c r="P56" s="525">
        <v>318754.61014314211</v>
      </c>
      <c r="Q56" s="65"/>
      <c r="R56" s="65">
        <v>29498.822906765625</v>
      </c>
      <c r="S56" s="88"/>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x14ac:dyDescent="0.25">
      <c r="A57" s="74">
        <v>9257009</v>
      </c>
      <c r="B57" s="67" t="s">
        <v>69</v>
      </c>
      <c r="C57" s="121" t="s">
        <v>451</v>
      </c>
      <c r="D57" s="523">
        <v>0.16728126399462603</v>
      </c>
      <c r="E57" s="523">
        <v>0.5331117367060082</v>
      </c>
      <c r="F57" s="523">
        <v>5.951180875576037E-2</v>
      </c>
      <c r="G57" s="523">
        <v>7.4766176884850405E-2</v>
      </c>
      <c r="H57" s="523">
        <v>3.7220400914435951E-2</v>
      </c>
      <c r="I57" s="523">
        <v>8.0393258021177944E-2</v>
      </c>
      <c r="J57" s="523">
        <v>4.7715354723141153E-2</v>
      </c>
      <c r="K57" s="162">
        <v>191</v>
      </c>
      <c r="L57" s="524">
        <v>1141855.3754200011</v>
      </c>
      <c r="M57" s="524">
        <v>0</v>
      </c>
      <c r="N57" s="524">
        <v>1141855.3754200011</v>
      </c>
      <c r="O57" s="525">
        <v>1114166.6666666667</v>
      </c>
      <c r="P57" s="525">
        <v>454480.18246077048</v>
      </c>
      <c r="Q57" s="65"/>
      <c r="R57" s="65">
        <v>125966.58600698358</v>
      </c>
      <c r="S57" s="88"/>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x14ac:dyDescent="0.25">
      <c r="A58" s="74">
        <v>9257029</v>
      </c>
      <c r="B58" s="67" t="s">
        <v>278</v>
      </c>
      <c r="C58" s="121" t="s">
        <v>452</v>
      </c>
      <c r="D58" s="523">
        <v>0</v>
      </c>
      <c r="E58" s="523">
        <v>0</v>
      </c>
      <c r="F58" s="523">
        <v>1</v>
      </c>
      <c r="G58" s="523">
        <v>0</v>
      </c>
      <c r="H58" s="523">
        <v>0</v>
      </c>
      <c r="I58" s="523">
        <v>0</v>
      </c>
      <c r="J58" s="523">
        <v>0</v>
      </c>
      <c r="K58" s="162">
        <v>79</v>
      </c>
      <c r="L58" s="524">
        <v>696450.79506082926</v>
      </c>
      <c r="M58" s="524">
        <v>0</v>
      </c>
      <c r="N58" s="524">
        <v>696450.79506082926</v>
      </c>
      <c r="O58" s="525">
        <v>460833.33333333337</v>
      </c>
      <c r="P58" s="525">
        <v>521114.76586323278</v>
      </c>
      <c r="Q58" s="65"/>
      <c r="R58" s="65">
        <v>0</v>
      </c>
      <c r="S58" s="88"/>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x14ac:dyDescent="0.25">
      <c r="A59" s="74">
        <v>9257032</v>
      </c>
      <c r="B59" s="67" t="s">
        <v>380</v>
      </c>
      <c r="C59" s="121" t="s">
        <v>452</v>
      </c>
      <c r="D59" s="523">
        <v>0</v>
      </c>
      <c r="E59" s="523">
        <v>0</v>
      </c>
      <c r="F59" s="523">
        <v>1</v>
      </c>
      <c r="G59" s="523">
        <v>0</v>
      </c>
      <c r="H59" s="523">
        <v>0</v>
      </c>
      <c r="I59" s="523">
        <v>0</v>
      </c>
      <c r="J59" s="523">
        <v>0</v>
      </c>
      <c r="K59" s="162">
        <v>104</v>
      </c>
      <c r="L59" s="524">
        <v>916846.61628261057</v>
      </c>
      <c r="M59" s="524">
        <v>0</v>
      </c>
      <c r="N59" s="524">
        <v>916846.61628261057</v>
      </c>
      <c r="O59" s="525">
        <v>606666.66666666674</v>
      </c>
      <c r="P59" s="525">
        <v>598277.84128261067</v>
      </c>
      <c r="Q59" s="65"/>
      <c r="R59" s="65">
        <v>0</v>
      </c>
      <c r="S59" s="88"/>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x14ac:dyDescent="0.25">
      <c r="A60" s="74">
        <v>9257030</v>
      </c>
      <c r="B60" s="67" t="s">
        <v>383</v>
      </c>
      <c r="C60" s="121" t="s">
        <v>452</v>
      </c>
      <c r="D60" s="523">
        <v>0</v>
      </c>
      <c r="E60" s="523">
        <v>0</v>
      </c>
      <c r="F60" s="523">
        <v>1</v>
      </c>
      <c r="G60" s="523">
        <v>0</v>
      </c>
      <c r="H60" s="523">
        <v>0</v>
      </c>
      <c r="I60" s="523">
        <v>0</v>
      </c>
      <c r="J60" s="523">
        <v>0</v>
      </c>
      <c r="K60" s="162">
        <v>70</v>
      </c>
      <c r="L60" s="524">
        <v>617108.29942098784</v>
      </c>
      <c r="M60" s="524">
        <v>0</v>
      </c>
      <c r="N60" s="524">
        <v>617108.29942098784</v>
      </c>
      <c r="O60" s="525">
        <v>408333.33333333337</v>
      </c>
      <c r="P60" s="525">
        <v>491912.03294963489</v>
      </c>
      <c r="Q60" s="65"/>
      <c r="R60" s="65">
        <v>0</v>
      </c>
      <c r="S60" s="88"/>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x14ac:dyDescent="0.25">
      <c r="A61" s="74">
        <v>9257028</v>
      </c>
      <c r="B61" s="67" t="s">
        <v>70</v>
      </c>
      <c r="C61" s="121">
        <v>5</v>
      </c>
      <c r="D61" s="523">
        <v>9.2436974789915971E-2</v>
      </c>
      <c r="E61" s="523">
        <v>0.44537815126050423</v>
      </c>
      <c r="F61" s="523">
        <v>7.5630252100840331E-2</v>
      </c>
      <c r="G61" s="523">
        <v>9.2436974789915971E-2</v>
      </c>
      <c r="H61" s="523">
        <v>9.2436974789915971E-2</v>
      </c>
      <c r="I61" s="523">
        <v>7.5630252100840331E-2</v>
      </c>
      <c r="J61" s="523">
        <v>0.12605042016806722</v>
      </c>
      <c r="K61" s="162">
        <v>126</v>
      </c>
      <c r="L61" s="524">
        <v>899635.32277155854</v>
      </c>
      <c r="M61" s="524">
        <v>0</v>
      </c>
      <c r="N61" s="524">
        <v>899635.32277155854</v>
      </c>
      <c r="O61" s="525">
        <v>735000</v>
      </c>
      <c r="P61" s="525">
        <v>534340.86966058973</v>
      </c>
      <c r="Q61" s="65"/>
      <c r="R61" s="65">
        <v>219522.31696988185</v>
      </c>
      <c r="S61" s="88"/>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x14ac:dyDescent="0.25">
      <c r="A62" s="74">
        <v>9257021</v>
      </c>
      <c r="B62" s="67" t="s">
        <v>71</v>
      </c>
      <c r="C62" s="121" t="s">
        <v>453</v>
      </c>
      <c r="D62" s="523">
        <v>0.25146198830409355</v>
      </c>
      <c r="E62" s="523">
        <v>0.47368421052631576</v>
      </c>
      <c r="F62" s="523">
        <v>9.3567251461988299E-2</v>
      </c>
      <c r="G62" s="523">
        <v>7.6023391812865493E-2</v>
      </c>
      <c r="H62" s="523">
        <v>3.5087719298245612E-2</v>
      </c>
      <c r="I62" s="523">
        <v>5.8479532163742687E-2</v>
      </c>
      <c r="J62" s="523">
        <v>1.1695906432748537E-2</v>
      </c>
      <c r="K62" s="162">
        <v>178</v>
      </c>
      <c r="L62" s="524">
        <v>998933.66211187816</v>
      </c>
      <c r="M62" s="524">
        <v>0</v>
      </c>
      <c r="N62" s="524">
        <v>998933.66211187816</v>
      </c>
      <c r="O62" s="525">
        <v>1038333.3333333334</v>
      </c>
      <c r="P62" s="525">
        <v>357831.92189188785</v>
      </c>
      <c r="Q62" s="65"/>
      <c r="R62" s="65">
        <v>28775.158377771815</v>
      </c>
      <c r="S62" s="88"/>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x14ac:dyDescent="0.25">
      <c r="A63" s="74">
        <v>9257015</v>
      </c>
      <c r="B63" s="67" t="s">
        <v>72</v>
      </c>
      <c r="C63" s="121" t="s">
        <v>454</v>
      </c>
      <c r="D63" s="523">
        <v>0.31555555555555553</v>
      </c>
      <c r="E63" s="523">
        <v>0.38666666666666666</v>
      </c>
      <c r="F63" s="523">
        <v>1.7777777777777778E-2</v>
      </c>
      <c r="G63" s="523">
        <v>9.3333333333333338E-2</v>
      </c>
      <c r="H63" s="523">
        <v>1.7777777777777778E-2</v>
      </c>
      <c r="I63" s="523">
        <v>0.16</v>
      </c>
      <c r="J63" s="523">
        <v>8.8888888888888889E-3</v>
      </c>
      <c r="K63" s="162">
        <v>209</v>
      </c>
      <c r="L63" s="524">
        <v>1198640.5144723291</v>
      </c>
      <c r="M63" s="524">
        <v>0</v>
      </c>
      <c r="N63" s="524">
        <v>1198640.5144723291</v>
      </c>
      <c r="O63" s="525">
        <v>1219166.6666666667</v>
      </c>
      <c r="P63" s="525">
        <v>399803.1674156696</v>
      </c>
      <c r="Q63" s="65"/>
      <c r="R63" s="65">
        <v>25677.78739733301</v>
      </c>
      <c r="S63" s="88"/>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x14ac:dyDescent="0.25">
      <c r="A64" s="74">
        <v>9257016</v>
      </c>
      <c r="B64" s="67" t="s">
        <v>73</v>
      </c>
      <c r="C64" s="121" t="s">
        <v>454</v>
      </c>
      <c r="D64" s="523">
        <v>0.15337423312883436</v>
      </c>
      <c r="E64" s="523">
        <v>0.19018404907975461</v>
      </c>
      <c r="F64" s="523">
        <v>1.2269938650306749E-2</v>
      </c>
      <c r="G64" s="523">
        <v>0.22699386503067484</v>
      </c>
      <c r="H64" s="523">
        <v>0.18404907975460122</v>
      </c>
      <c r="I64" s="523">
        <v>1.8404907975460124E-2</v>
      </c>
      <c r="J64" s="523">
        <v>0.21472392638036811</v>
      </c>
      <c r="K64" s="162">
        <v>112</v>
      </c>
      <c r="L64" s="524">
        <v>938438.36518634588</v>
      </c>
      <c r="M64" s="524">
        <v>0</v>
      </c>
      <c r="N64" s="524">
        <v>938438.36518634588</v>
      </c>
      <c r="O64" s="525">
        <v>653333.33333333337</v>
      </c>
      <c r="P64" s="525">
        <v>589939.89599059464</v>
      </c>
      <c r="Q64" s="107" t="s">
        <v>62</v>
      </c>
      <c r="R64" s="65">
        <v>332400.98166037095</v>
      </c>
      <c r="S64" s="88"/>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x14ac:dyDescent="0.25">
      <c r="A65" s="15"/>
      <c r="B65" s="15"/>
      <c r="C65" s="15"/>
      <c r="D65" s="15"/>
      <c r="E65" s="15"/>
      <c r="F65" s="107" t="s">
        <v>62</v>
      </c>
      <c r="G65" s="15"/>
      <c r="H65" s="15"/>
      <c r="I65" s="15"/>
      <c r="J65" s="107" t="s">
        <v>62</v>
      </c>
      <c r="K65" s="64"/>
      <c r="L65" s="15"/>
      <c r="M65" s="15"/>
      <c r="N65" s="107" t="s">
        <v>62</v>
      </c>
      <c r="O65" s="15"/>
      <c r="P65" s="15"/>
      <c r="Q65" s="15"/>
      <c r="R65" s="64"/>
      <c r="S65" s="100"/>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ht="13" x14ac:dyDescent="0.3">
      <c r="A66" s="34" t="s">
        <v>730</v>
      </c>
      <c r="B66" s="15"/>
      <c r="C66" s="15"/>
      <c r="D66" s="15"/>
      <c r="E66" s="15"/>
      <c r="F66" s="15"/>
      <c r="G66" s="15"/>
      <c r="H66" s="15"/>
      <c r="I66" s="15"/>
      <c r="J66" s="15"/>
      <c r="K66" s="64"/>
      <c r="L66" s="64"/>
      <c r="M66" s="15"/>
      <c r="N66" s="15"/>
      <c r="O66" s="15"/>
      <c r="P66" s="15"/>
      <c r="Q66" s="15"/>
      <c r="R66" s="64"/>
      <c r="S66" s="100"/>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x14ac:dyDescent="0.25">
      <c r="A67" s="15"/>
      <c r="B67" s="15"/>
      <c r="C67" s="15"/>
      <c r="D67" s="15"/>
      <c r="E67" s="15"/>
      <c r="F67" s="15"/>
      <c r="G67" s="15"/>
      <c r="H67" s="15"/>
      <c r="I67" s="15"/>
      <c r="J67" s="15"/>
      <c r="K67" s="35" t="s">
        <v>729</v>
      </c>
      <c r="L67" s="64"/>
      <c r="M67" s="15"/>
      <c r="N67" s="15"/>
      <c r="O67" s="1108" t="s">
        <v>77</v>
      </c>
      <c r="P67" s="1109"/>
      <c r="Q67" s="15"/>
      <c r="R67" s="64"/>
      <c r="S67" s="100"/>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37.5" x14ac:dyDescent="0.25">
      <c r="A68" s="85" t="s">
        <v>48</v>
      </c>
      <c r="B68" s="67" t="s">
        <v>49</v>
      </c>
      <c r="C68" s="68" t="s">
        <v>50</v>
      </c>
      <c r="D68" s="64" t="s">
        <v>280</v>
      </c>
      <c r="E68" s="64" t="s">
        <v>281</v>
      </c>
      <c r="F68" s="64" t="s">
        <v>282</v>
      </c>
      <c r="G68" s="64" t="s">
        <v>283</v>
      </c>
      <c r="H68" s="64" t="s">
        <v>284</v>
      </c>
      <c r="I68" s="64" t="s">
        <v>285</v>
      </c>
      <c r="J68" s="64" t="s">
        <v>286</v>
      </c>
      <c r="K68" s="73" t="s">
        <v>88</v>
      </c>
      <c r="L68" s="73" t="s">
        <v>98</v>
      </c>
      <c r="M68" s="73" t="s">
        <v>99</v>
      </c>
      <c r="N68" s="73" t="s">
        <v>98</v>
      </c>
      <c r="O68" s="73" t="s">
        <v>91</v>
      </c>
      <c r="P68" s="110" t="s">
        <v>100</v>
      </c>
      <c r="Q68" s="73"/>
      <c r="R68" s="73"/>
      <c r="S68" s="91"/>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x14ac:dyDescent="0.25">
      <c r="A69" s="74">
        <v>9257010</v>
      </c>
      <c r="B69" s="67" t="s">
        <v>439</v>
      </c>
      <c r="C69" s="121">
        <v>5</v>
      </c>
      <c r="D69" s="523">
        <v>6.1224489795918366E-2</v>
      </c>
      <c r="E69" s="523">
        <v>0.42857142857142855</v>
      </c>
      <c r="F69" s="523">
        <v>7.1428571428571425E-2</v>
      </c>
      <c r="G69" s="523">
        <v>0.1326530612244898</v>
      </c>
      <c r="H69" s="523">
        <v>8.1632653061224483E-2</v>
      </c>
      <c r="I69" s="523">
        <v>0.11224489795918367</v>
      </c>
      <c r="J69" s="523">
        <v>0.11224489795918367</v>
      </c>
      <c r="K69" s="162">
        <v>12</v>
      </c>
      <c r="L69" s="524">
        <v>100626.79229209539</v>
      </c>
      <c r="M69" s="524">
        <v>0</v>
      </c>
      <c r="N69" s="524">
        <v>100626.79229209539</v>
      </c>
      <c r="O69" s="525">
        <v>80000</v>
      </c>
      <c r="P69" s="525">
        <v>62852.769739322364</v>
      </c>
      <c r="Q69" s="65"/>
      <c r="R69" s="65">
        <v>21276.669011139824</v>
      </c>
      <c r="S69" s="88"/>
      <c r="T69" s="93"/>
      <c r="U69" s="15"/>
      <c r="V69" s="105"/>
      <c r="W69" s="104"/>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x14ac:dyDescent="0.25">
      <c r="A70" s="74">
        <v>9257005</v>
      </c>
      <c r="B70" s="67" t="s">
        <v>63</v>
      </c>
      <c r="C70" s="121">
        <v>4</v>
      </c>
      <c r="D70" s="523">
        <v>5.8139534883720929E-2</v>
      </c>
      <c r="E70" s="523">
        <v>0.38372093023255816</v>
      </c>
      <c r="F70" s="523">
        <v>9.3023255813953487E-2</v>
      </c>
      <c r="G70" s="523">
        <v>0.13953488372093023</v>
      </c>
      <c r="H70" s="523">
        <v>0.11627906976744186</v>
      </c>
      <c r="I70" s="523">
        <v>0.15116279069767441</v>
      </c>
      <c r="J70" s="523">
        <v>5.8139534883720929E-2</v>
      </c>
      <c r="K70" s="162">
        <v>31</v>
      </c>
      <c r="L70" s="524">
        <v>259218.89799015666</v>
      </c>
      <c r="M70" s="524">
        <v>0</v>
      </c>
      <c r="N70" s="524">
        <v>259218.89799015666</v>
      </c>
      <c r="O70" s="525">
        <v>206666.66666666666</v>
      </c>
      <c r="P70" s="525">
        <v>182625.17506761037</v>
      </c>
      <c r="Q70" s="65"/>
      <c r="R70" s="65">
        <v>28470.102385413487</v>
      </c>
      <c r="S70" s="88"/>
      <c r="T70" s="93"/>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row>
    <row r="71" spans="1:56" x14ac:dyDescent="0.25">
      <c r="A71" s="74">
        <v>9257025</v>
      </c>
      <c r="B71" s="67" t="s">
        <v>64</v>
      </c>
      <c r="C71" s="121">
        <v>4</v>
      </c>
      <c r="D71" s="523">
        <v>0.13924050632911392</v>
      </c>
      <c r="E71" s="523">
        <v>0.46835443037974683</v>
      </c>
      <c r="F71" s="523">
        <v>3.7974683544303799E-2</v>
      </c>
      <c r="G71" s="523">
        <v>0.11392405063291139</v>
      </c>
      <c r="H71" s="523">
        <v>3.7974683544303799E-2</v>
      </c>
      <c r="I71" s="523">
        <v>0.15189873417721519</v>
      </c>
      <c r="J71" s="523">
        <v>5.0632911392405063E-2</v>
      </c>
      <c r="K71" s="162">
        <v>24</v>
      </c>
      <c r="L71" s="524">
        <v>177801.42282450187</v>
      </c>
      <c r="M71" s="524">
        <v>0</v>
      </c>
      <c r="N71" s="524">
        <v>177801.42282450187</v>
      </c>
      <c r="O71" s="525">
        <v>160000</v>
      </c>
      <c r="P71" s="525">
        <v>116809.79550254252</v>
      </c>
      <c r="Q71" s="65"/>
      <c r="R71" s="65">
        <v>19195.521869658947</v>
      </c>
      <c r="S71" s="88"/>
      <c r="T71" s="93"/>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row>
    <row r="72" spans="1:56" x14ac:dyDescent="0.25">
      <c r="A72" s="74">
        <v>9257024</v>
      </c>
      <c r="B72" s="67" t="s">
        <v>66</v>
      </c>
      <c r="C72" s="121">
        <v>4</v>
      </c>
      <c r="D72" s="523">
        <v>7.1428571428571425E-2</v>
      </c>
      <c r="E72" s="523">
        <v>0.51190476190476186</v>
      </c>
      <c r="F72" s="523">
        <v>2.3809523809523808E-2</v>
      </c>
      <c r="G72" s="523">
        <v>0.17857142857142858</v>
      </c>
      <c r="H72" s="523">
        <v>8.3333333333333329E-2</v>
      </c>
      <c r="I72" s="523">
        <v>7.1428571428571425E-2</v>
      </c>
      <c r="J72" s="523">
        <v>5.9523809523809521E-2</v>
      </c>
      <c r="K72" s="162">
        <v>13</v>
      </c>
      <c r="L72" s="524">
        <v>98575.941080966324</v>
      </c>
      <c r="M72" s="524">
        <v>0</v>
      </c>
      <c r="N72" s="524">
        <v>98575.941080966324</v>
      </c>
      <c r="O72" s="525">
        <v>86666.666666666657</v>
      </c>
      <c r="P72" s="525">
        <v>64751.527731835435</v>
      </c>
      <c r="Q72" s="65"/>
      <c r="R72" s="65">
        <v>12223.33888897553</v>
      </c>
      <c r="S72" s="88"/>
      <c r="T72" s="93"/>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row>
    <row r="73" spans="1:56" x14ac:dyDescent="0.25">
      <c r="A73" s="74">
        <v>9257031</v>
      </c>
      <c r="B73" s="67" t="s">
        <v>84</v>
      </c>
      <c r="C73" s="121">
        <v>5</v>
      </c>
      <c r="D73" s="523">
        <v>0</v>
      </c>
      <c r="E73" s="523">
        <v>0</v>
      </c>
      <c r="F73" s="523">
        <v>1</v>
      </c>
      <c r="G73" s="523">
        <v>0</v>
      </c>
      <c r="H73" s="523">
        <v>0</v>
      </c>
      <c r="I73" s="523">
        <v>0</v>
      </c>
      <c r="J73" s="523">
        <v>0</v>
      </c>
      <c r="K73" s="162">
        <v>0</v>
      </c>
      <c r="L73" s="524">
        <v>0</v>
      </c>
      <c r="M73" s="524">
        <v>0</v>
      </c>
      <c r="N73" s="524">
        <v>0</v>
      </c>
      <c r="O73" s="525">
        <v>0</v>
      </c>
      <c r="P73" s="525">
        <v>0</v>
      </c>
      <c r="Q73" s="65"/>
      <c r="R73" s="65">
        <v>0</v>
      </c>
      <c r="S73" s="88"/>
      <c r="T73" s="93"/>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row>
    <row r="74" spans="1:56" x14ac:dyDescent="0.25">
      <c r="A74" s="74">
        <v>9257033</v>
      </c>
      <c r="B74" s="67" t="s">
        <v>74</v>
      </c>
      <c r="C74" s="121" t="s">
        <v>451</v>
      </c>
      <c r="D74" s="523">
        <v>0.1388888888888889</v>
      </c>
      <c r="E74" s="523">
        <v>0.62962962962962965</v>
      </c>
      <c r="F74" s="523">
        <v>4.6296296296296294E-2</v>
      </c>
      <c r="G74" s="523">
        <v>0.10185185185185185</v>
      </c>
      <c r="H74" s="523">
        <v>3.7037037037037035E-2</v>
      </c>
      <c r="I74" s="523">
        <v>3.7037037037037035E-2</v>
      </c>
      <c r="J74" s="523">
        <v>9.2592592592592587E-3</v>
      </c>
      <c r="K74" s="162">
        <v>0</v>
      </c>
      <c r="L74" s="524">
        <v>0</v>
      </c>
      <c r="M74" s="524">
        <v>0</v>
      </c>
      <c r="N74" s="524">
        <v>0</v>
      </c>
      <c r="O74" s="525">
        <v>0</v>
      </c>
      <c r="P74" s="525">
        <v>0</v>
      </c>
      <c r="Q74" s="65"/>
      <c r="R74" s="65">
        <v>0</v>
      </c>
      <c r="S74" s="88"/>
      <c r="T74" s="93"/>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row>
    <row r="75" spans="1:56" x14ac:dyDescent="0.25">
      <c r="A75" s="74">
        <v>9257008</v>
      </c>
      <c r="B75" s="67" t="s">
        <v>67</v>
      </c>
      <c r="C75" s="121">
        <v>4</v>
      </c>
      <c r="D75" s="523">
        <v>0.11</v>
      </c>
      <c r="E75" s="523">
        <v>0.64</v>
      </c>
      <c r="F75" s="523">
        <v>7.0000000000000007E-2</v>
      </c>
      <c r="G75" s="523">
        <v>0.09</v>
      </c>
      <c r="H75" s="523">
        <v>0</v>
      </c>
      <c r="I75" s="523">
        <v>0.09</v>
      </c>
      <c r="J75" s="523">
        <v>0</v>
      </c>
      <c r="K75" s="162">
        <v>0</v>
      </c>
      <c r="L75" s="524">
        <v>0</v>
      </c>
      <c r="M75" s="524">
        <v>0</v>
      </c>
      <c r="N75" s="524">
        <v>0</v>
      </c>
      <c r="O75" s="525">
        <v>0</v>
      </c>
      <c r="P75" s="525">
        <v>0</v>
      </c>
      <c r="Q75" s="65"/>
      <c r="R75" s="65">
        <v>0</v>
      </c>
      <c r="S75" s="88"/>
      <c r="T75" s="93"/>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row>
    <row r="76" spans="1:56" x14ac:dyDescent="0.25">
      <c r="A76" s="74">
        <v>9257034</v>
      </c>
      <c r="B76" s="67" t="s">
        <v>75</v>
      </c>
      <c r="C76" s="121" t="s">
        <v>451</v>
      </c>
      <c r="D76" s="523">
        <v>0.44444444444444442</v>
      </c>
      <c r="E76" s="523">
        <v>0.32407407407407407</v>
      </c>
      <c r="F76" s="523">
        <v>9.2592592592592587E-2</v>
      </c>
      <c r="G76" s="523">
        <v>4.6296296296296294E-2</v>
      </c>
      <c r="H76" s="523">
        <v>2.7777777777777776E-2</v>
      </c>
      <c r="I76" s="523">
        <v>5.5555555555555552E-2</v>
      </c>
      <c r="J76" s="523">
        <v>9.2592592592592587E-3</v>
      </c>
      <c r="K76" s="162">
        <v>30</v>
      </c>
      <c r="L76" s="524">
        <v>180478.03046493558</v>
      </c>
      <c r="M76" s="524">
        <v>0</v>
      </c>
      <c r="N76" s="524">
        <v>180478.03046493558</v>
      </c>
      <c r="O76" s="525">
        <v>200000</v>
      </c>
      <c r="P76" s="525">
        <v>79317.386717338784</v>
      </c>
      <c r="Q76" s="65"/>
      <c r="R76" s="65">
        <v>4387.8652421963452</v>
      </c>
      <c r="S76" s="88"/>
      <c r="T76" s="93"/>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row>
    <row r="77" spans="1:56" x14ac:dyDescent="0.25">
      <c r="A77" s="74">
        <v>9257002</v>
      </c>
      <c r="B77" s="67" t="s">
        <v>68</v>
      </c>
      <c r="C77" s="121">
        <v>5</v>
      </c>
      <c r="D77" s="523">
        <v>0.33557046979865773</v>
      </c>
      <c r="E77" s="523">
        <v>0.38926174496644295</v>
      </c>
      <c r="F77" s="523">
        <v>0.13422818791946309</v>
      </c>
      <c r="G77" s="523">
        <v>3.3557046979865772E-2</v>
      </c>
      <c r="H77" s="523">
        <v>2.0134228187919462E-2</v>
      </c>
      <c r="I77" s="523">
        <v>7.3825503355704702E-2</v>
      </c>
      <c r="J77" s="523">
        <v>1.3422818791946308E-2</v>
      </c>
      <c r="K77" s="162">
        <v>0</v>
      </c>
      <c r="L77" s="524">
        <v>0</v>
      </c>
      <c r="M77" s="524">
        <v>0</v>
      </c>
      <c r="N77" s="524">
        <v>0</v>
      </c>
      <c r="O77" s="525">
        <v>0</v>
      </c>
      <c r="P77" s="525">
        <v>0</v>
      </c>
      <c r="Q77" s="65"/>
      <c r="R77" s="65">
        <v>0</v>
      </c>
      <c r="S77" s="88"/>
      <c r="T77" s="93"/>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row>
    <row r="78" spans="1:56" x14ac:dyDescent="0.25">
      <c r="A78" s="74">
        <v>9257009</v>
      </c>
      <c r="B78" s="67" t="s">
        <v>69</v>
      </c>
      <c r="C78" s="121" t="s">
        <v>451</v>
      </c>
      <c r="D78" s="523">
        <v>0.16728126399462603</v>
      </c>
      <c r="E78" s="523">
        <v>0.5331117367060082</v>
      </c>
      <c r="F78" s="523">
        <v>5.951180875576037E-2</v>
      </c>
      <c r="G78" s="523">
        <v>7.4766176884850405E-2</v>
      </c>
      <c r="H78" s="523">
        <v>3.7220400914435951E-2</v>
      </c>
      <c r="I78" s="523">
        <v>8.0393258021177944E-2</v>
      </c>
      <c r="J78" s="523">
        <v>4.7715354723141153E-2</v>
      </c>
      <c r="K78" s="162">
        <v>11</v>
      </c>
      <c r="L78" s="524">
        <v>75155.776392640313</v>
      </c>
      <c r="M78" s="524">
        <v>0</v>
      </c>
      <c r="N78" s="524">
        <v>75155.776392640313</v>
      </c>
      <c r="O78" s="525">
        <v>73333.333333333328</v>
      </c>
      <c r="P78" s="525">
        <v>29913.430109609428</v>
      </c>
      <c r="Q78" s="65"/>
      <c r="R78" s="65">
        <v>8290.9944417461138</v>
      </c>
      <c r="S78" s="88"/>
      <c r="T78" s="93"/>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row>
    <row r="79" spans="1:56" x14ac:dyDescent="0.25">
      <c r="A79" s="74">
        <v>9257029</v>
      </c>
      <c r="B79" s="67" t="s">
        <v>278</v>
      </c>
      <c r="C79" s="121" t="s">
        <v>452</v>
      </c>
      <c r="D79" s="523">
        <v>0</v>
      </c>
      <c r="E79" s="523">
        <v>0</v>
      </c>
      <c r="F79" s="523">
        <v>1</v>
      </c>
      <c r="G79" s="523">
        <v>0</v>
      </c>
      <c r="H79" s="523">
        <v>0</v>
      </c>
      <c r="I79" s="523">
        <v>0</v>
      </c>
      <c r="J79" s="523">
        <v>0</v>
      </c>
      <c r="K79" s="162">
        <v>0</v>
      </c>
      <c r="L79" s="524">
        <v>0</v>
      </c>
      <c r="M79" s="524">
        <v>0</v>
      </c>
      <c r="N79" s="524">
        <v>0</v>
      </c>
      <c r="O79" s="525">
        <v>0</v>
      </c>
      <c r="P79" s="525">
        <v>0</v>
      </c>
      <c r="Q79" s="65"/>
      <c r="R79" s="65">
        <v>0</v>
      </c>
      <c r="S79" s="88"/>
      <c r="T79" s="93"/>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row>
    <row r="80" spans="1:56" x14ac:dyDescent="0.25">
      <c r="A80" s="74">
        <v>9257032</v>
      </c>
      <c r="B80" s="67" t="s">
        <v>380</v>
      </c>
      <c r="C80" s="121" t="s">
        <v>452</v>
      </c>
      <c r="D80" s="523">
        <v>0</v>
      </c>
      <c r="E80" s="523">
        <v>0</v>
      </c>
      <c r="F80" s="523">
        <v>1</v>
      </c>
      <c r="G80" s="523">
        <v>0</v>
      </c>
      <c r="H80" s="523">
        <v>0</v>
      </c>
      <c r="I80" s="523">
        <v>0</v>
      </c>
      <c r="J80" s="523">
        <v>0</v>
      </c>
      <c r="K80" s="162">
        <v>0</v>
      </c>
      <c r="L80" s="524">
        <v>0</v>
      </c>
      <c r="M80" s="524">
        <v>0</v>
      </c>
      <c r="N80" s="524">
        <v>0</v>
      </c>
      <c r="O80" s="525">
        <v>0</v>
      </c>
      <c r="P80" s="525">
        <v>0</v>
      </c>
      <c r="Q80" s="65"/>
      <c r="R80" s="65">
        <v>0</v>
      </c>
      <c r="S80" s="88"/>
      <c r="T80" s="93"/>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row>
    <row r="81" spans="1:56" x14ac:dyDescent="0.25">
      <c r="A81" s="74">
        <v>9257030</v>
      </c>
      <c r="B81" s="67" t="s">
        <v>383</v>
      </c>
      <c r="C81" s="121" t="s">
        <v>452</v>
      </c>
      <c r="D81" s="523">
        <v>0</v>
      </c>
      <c r="E81" s="523">
        <v>0</v>
      </c>
      <c r="F81" s="523">
        <v>1</v>
      </c>
      <c r="G81" s="523">
        <v>0</v>
      </c>
      <c r="H81" s="523">
        <v>0</v>
      </c>
      <c r="I81" s="523">
        <v>0</v>
      </c>
      <c r="J81" s="523">
        <v>0</v>
      </c>
      <c r="K81" s="162">
        <v>0</v>
      </c>
      <c r="L81" s="524">
        <v>0</v>
      </c>
      <c r="M81" s="524">
        <v>0</v>
      </c>
      <c r="N81" s="524">
        <v>0</v>
      </c>
      <c r="O81" s="525">
        <v>0</v>
      </c>
      <c r="P81" s="525">
        <v>0</v>
      </c>
      <c r="Q81" s="65"/>
      <c r="R81" s="65">
        <v>0</v>
      </c>
      <c r="S81" s="88"/>
      <c r="T81" s="93"/>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row>
    <row r="82" spans="1:56" x14ac:dyDescent="0.25">
      <c r="A82" s="74">
        <v>9257028</v>
      </c>
      <c r="B82" s="67" t="s">
        <v>70</v>
      </c>
      <c r="C82" s="121">
        <v>5</v>
      </c>
      <c r="D82" s="523">
        <v>9.2436974789915971E-2</v>
      </c>
      <c r="E82" s="523">
        <v>0.44537815126050423</v>
      </c>
      <c r="F82" s="523">
        <v>7.5630252100840331E-2</v>
      </c>
      <c r="G82" s="523">
        <v>9.2436974789915971E-2</v>
      </c>
      <c r="H82" s="523">
        <v>9.2436974789915971E-2</v>
      </c>
      <c r="I82" s="523">
        <v>7.5630252100840331E-2</v>
      </c>
      <c r="J82" s="523">
        <v>0.12605042016806722</v>
      </c>
      <c r="K82" s="162">
        <v>9</v>
      </c>
      <c r="L82" s="524">
        <v>73439.618185433341</v>
      </c>
      <c r="M82" s="524">
        <v>0</v>
      </c>
      <c r="N82" s="524">
        <v>73439.618185433341</v>
      </c>
      <c r="O82" s="525">
        <v>60000</v>
      </c>
      <c r="P82" s="525">
        <v>43619.662829435896</v>
      </c>
      <c r="Q82" s="65"/>
      <c r="R82" s="65">
        <v>17920.189140398517</v>
      </c>
      <c r="S82" s="88"/>
      <c r="T82" s="93"/>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row>
    <row r="83" spans="1:56" x14ac:dyDescent="0.25">
      <c r="A83" s="74">
        <v>9257021</v>
      </c>
      <c r="B83" s="67" t="s">
        <v>71</v>
      </c>
      <c r="C83" s="121" t="s">
        <v>453</v>
      </c>
      <c r="D83" s="523">
        <v>0.25146198830409355</v>
      </c>
      <c r="E83" s="523">
        <v>0.47368421052631576</v>
      </c>
      <c r="F83" s="523">
        <v>9.3567251461988299E-2</v>
      </c>
      <c r="G83" s="523">
        <v>7.6023391812865493E-2</v>
      </c>
      <c r="H83" s="523">
        <v>3.5087719298245612E-2</v>
      </c>
      <c r="I83" s="523">
        <v>5.8479532163742687E-2</v>
      </c>
      <c r="J83" s="523">
        <v>1.1695906432748537E-2</v>
      </c>
      <c r="K83" s="162">
        <v>0</v>
      </c>
      <c r="L83" s="524">
        <v>0</v>
      </c>
      <c r="M83" s="524">
        <v>0</v>
      </c>
      <c r="N83" s="524">
        <v>0</v>
      </c>
      <c r="O83" s="525">
        <v>0</v>
      </c>
      <c r="P83" s="525">
        <v>0</v>
      </c>
      <c r="Q83" s="65"/>
      <c r="R83" s="65">
        <v>0</v>
      </c>
      <c r="S83" s="88"/>
      <c r="T83" s="93"/>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row>
    <row r="84" spans="1:56" x14ac:dyDescent="0.25">
      <c r="A84" s="74">
        <v>9257015</v>
      </c>
      <c r="B84" s="67" t="s">
        <v>72</v>
      </c>
      <c r="C84" s="121" t="s">
        <v>454</v>
      </c>
      <c r="D84" s="523">
        <v>0.31555555555555553</v>
      </c>
      <c r="E84" s="523">
        <v>0.38666666666666666</v>
      </c>
      <c r="F84" s="523">
        <v>1.7777777777777778E-2</v>
      </c>
      <c r="G84" s="523">
        <v>9.3333333333333338E-2</v>
      </c>
      <c r="H84" s="523">
        <v>1.7777777777777778E-2</v>
      </c>
      <c r="I84" s="523">
        <v>0.16</v>
      </c>
      <c r="J84" s="523">
        <v>8.8888888888888889E-3</v>
      </c>
      <c r="K84" s="162">
        <v>16</v>
      </c>
      <c r="L84" s="524">
        <v>104870.8037269023</v>
      </c>
      <c r="M84" s="524">
        <v>0</v>
      </c>
      <c r="N84" s="524">
        <v>104870.8037269023</v>
      </c>
      <c r="O84" s="525">
        <v>106666.66666666666</v>
      </c>
      <c r="P84" s="525">
        <v>34979.361195629324</v>
      </c>
      <c r="Q84" s="65"/>
      <c r="R84" s="65">
        <v>2246.5870040045288</v>
      </c>
      <c r="S84" s="88"/>
      <c r="T84" s="93"/>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row>
    <row r="85" spans="1:56" x14ac:dyDescent="0.25">
      <c r="A85" s="74">
        <v>9257016</v>
      </c>
      <c r="B85" s="67" t="s">
        <v>73</v>
      </c>
      <c r="C85" s="121" t="s">
        <v>454</v>
      </c>
      <c r="D85" s="523">
        <v>0.15337423312883436</v>
      </c>
      <c r="E85" s="523">
        <v>0.19018404907975461</v>
      </c>
      <c r="F85" s="523">
        <v>1.2269938650306749E-2</v>
      </c>
      <c r="G85" s="523">
        <v>0.22699386503067484</v>
      </c>
      <c r="H85" s="523">
        <v>0.18404907975460122</v>
      </c>
      <c r="I85" s="523">
        <v>1.8404907975460124E-2</v>
      </c>
      <c r="J85" s="523">
        <v>0.21472392638036811</v>
      </c>
      <c r="K85" s="162">
        <v>54</v>
      </c>
      <c r="L85" s="524">
        <v>517098.69102104765</v>
      </c>
      <c r="M85" s="524">
        <v>0</v>
      </c>
      <c r="N85" s="524">
        <v>517098.69102104765</v>
      </c>
      <c r="O85" s="525">
        <v>360000</v>
      </c>
      <c r="P85" s="525">
        <v>325068.92228053173</v>
      </c>
      <c r="Q85" s="107" t="s">
        <v>62</v>
      </c>
      <c r="R85" s="65">
        <v>183159.72458836765</v>
      </c>
      <c r="S85" s="88"/>
      <c r="T85" s="93"/>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row>
    <row r="86" spans="1:56" x14ac:dyDescent="0.25">
      <c r="A86" s="15"/>
      <c r="B86" s="15"/>
      <c r="C86" s="15"/>
      <c r="D86" s="15"/>
      <c r="E86" s="15"/>
      <c r="F86" s="107" t="s">
        <v>62</v>
      </c>
      <c r="G86" s="15"/>
      <c r="H86" s="64"/>
      <c r="I86" s="107" t="s">
        <v>62</v>
      </c>
      <c r="J86" s="15"/>
      <c r="K86" s="15"/>
      <c r="L86" s="15"/>
      <c r="M86" s="15"/>
      <c r="N86" s="15"/>
      <c r="O86" s="15"/>
      <c r="P86" s="15"/>
      <c r="Q86" s="15"/>
      <c r="R86" s="64"/>
      <c r="S86" s="100"/>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row>
    <row r="87" spans="1:56" x14ac:dyDescent="0.25">
      <c r="A87" s="15"/>
      <c r="B87" s="15"/>
      <c r="C87" s="15"/>
      <c r="D87" s="15"/>
      <c r="E87" s="15"/>
      <c r="F87" s="15"/>
      <c r="G87" s="15"/>
      <c r="H87" s="15"/>
      <c r="I87" s="64"/>
      <c r="J87" s="64"/>
      <c r="K87" s="15"/>
      <c r="L87" s="15"/>
      <c r="M87" s="15"/>
      <c r="N87" s="15"/>
      <c r="O87" s="15"/>
      <c r="P87" s="15"/>
      <c r="Q87" s="15"/>
      <c r="R87" s="64"/>
      <c r="S87" s="100"/>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row>
    <row r="88" spans="1:56" ht="13" x14ac:dyDescent="0.3">
      <c r="A88" s="15"/>
      <c r="B88" s="348" t="s">
        <v>489</v>
      </c>
      <c r="C88" s="15"/>
      <c r="D88" s="15"/>
      <c r="E88" s="15" t="s">
        <v>229</v>
      </c>
      <c r="F88" s="15"/>
      <c r="G88" s="65">
        <v>6436.6395994964951</v>
      </c>
      <c r="H88" s="94"/>
      <c r="I88" s="94"/>
      <c r="J88" s="94"/>
      <c r="K88" s="94"/>
      <c r="L88" s="94"/>
      <c r="M88" s="94"/>
      <c r="N88" s="94"/>
      <c r="O88" s="94"/>
      <c r="P88" s="94"/>
      <c r="Q88" s="94"/>
      <c r="R88" s="64"/>
      <c r="S88" s="100"/>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row>
    <row r="89" spans="1:56" x14ac:dyDescent="0.25">
      <c r="A89" s="15"/>
      <c r="B89" s="15"/>
      <c r="C89" s="15"/>
      <c r="D89" s="15"/>
      <c r="E89" s="15"/>
      <c r="F89" s="15"/>
      <c r="G89" s="65"/>
      <c r="H89" s="94"/>
      <c r="I89" s="94"/>
      <c r="J89" s="94"/>
      <c r="K89" s="94"/>
      <c r="L89" s="94"/>
      <c r="M89" s="94"/>
      <c r="N89" s="94"/>
      <c r="O89" s="94"/>
      <c r="P89" s="94"/>
      <c r="Q89" s="94"/>
      <c r="R89" s="64"/>
      <c r="S89" s="100"/>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row>
    <row r="90" spans="1:56" x14ac:dyDescent="0.25">
      <c r="A90" s="15"/>
      <c r="B90" s="15"/>
      <c r="C90" s="15"/>
      <c r="D90" s="15"/>
      <c r="E90" s="15" t="s">
        <v>230</v>
      </c>
      <c r="F90" s="15"/>
      <c r="G90" s="65">
        <v>7663.9439642558327</v>
      </c>
      <c r="H90" s="94"/>
      <c r="I90" s="94"/>
      <c r="J90" s="94"/>
      <c r="K90" s="94"/>
      <c r="L90" s="94"/>
      <c r="M90" s="94"/>
      <c r="N90" s="94"/>
      <c r="O90" s="94"/>
      <c r="P90" s="94"/>
      <c r="Q90" s="94"/>
      <c r="R90" s="64"/>
      <c r="S90" s="100"/>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row>
    <row r="91" spans="1:56" x14ac:dyDescent="0.25">
      <c r="A91" s="15"/>
      <c r="B91" s="15"/>
      <c r="C91" s="15"/>
      <c r="D91" s="15"/>
      <c r="E91" s="15"/>
      <c r="F91" s="15"/>
      <c r="G91" s="65"/>
      <c r="H91" s="94"/>
      <c r="I91" s="145"/>
      <c r="J91" s="94"/>
      <c r="K91" s="94"/>
      <c r="L91" s="94"/>
      <c r="M91" s="94"/>
      <c r="N91" s="94"/>
      <c r="O91" s="94"/>
      <c r="P91" s="94"/>
      <c r="Q91" s="94"/>
      <c r="R91" s="64"/>
      <c r="S91" s="100"/>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row>
    <row r="92" spans="1:56" x14ac:dyDescent="0.25">
      <c r="A92" s="15"/>
      <c r="B92" s="15"/>
      <c r="C92" s="15"/>
      <c r="D92" s="15"/>
      <c r="E92" s="15" t="s">
        <v>236</v>
      </c>
      <c r="F92" s="15"/>
      <c r="G92" s="65">
        <v>15112.856312350723</v>
      </c>
      <c r="H92" s="94"/>
      <c r="I92" s="145"/>
      <c r="J92" s="94"/>
      <c r="K92" s="94"/>
      <c r="L92" s="94"/>
      <c r="M92" s="94"/>
      <c r="N92" s="94"/>
      <c r="O92" s="94"/>
      <c r="P92" s="94"/>
      <c r="Q92" s="94"/>
      <c r="R92" s="64"/>
      <c r="S92" s="100"/>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row>
    <row r="93" spans="1:56" x14ac:dyDescent="0.25">
      <c r="A93" s="15"/>
      <c r="B93" s="15"/>
      <c r="C93" s="15"/>
      <c r="D93" s="15"/>
      <c r="E93" s="15"/>
      <c r="F93" s="15"/>
      <c r="G93" s="65"/>
      <c r="H93" s="94"/>
      <c r="I93" s="145"/>
      <c r="J93" s="94"/>
      <c r="K93" s="94"/>
      <c r="L93" s="94"/>
      <c r="M93" s="94"/>
      <c r="N93" s="94"/>
      <c r="O93" s="94"/>
      <c r="P93" s="94"/>
      <c r="Q93" s="94"/>
      <c r="R93" s="64"/>
      <c r="S93" s="100"/>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64"/>
      <c r="AY93" s="64"/>
      <c r="AZ93" s="15"/>
      <c r="BA93" s="15"/>
      <c r="BB93" s="64"/>
      <c r="BC93" s="64"/>
      <c r="BD93" s="64"/>
    </row>
    <row r="94" spans="1:56" x14ac:dyDescent="0.25">
      <c r="A94" s="15"/>
      <c r="B94" s="15"/>
      <c r="C94" s="15"/>
      <c r="D94" s="15"/>
      <c r="E94" s="15" t="s">
        <v>232</v>
      </c>
      <c r="F94" s="15"/>
      <c r="G94" s="65">
        <v>15428.518588359904</v>
      </c>
      <c r="H94" s="94"/>
      <c r="I94" s="145"/>
      <c r="J94" s="94"/>
      <c r="K94" s="94"/>
      <c r="L94" s="94"/>
      <c r="M94" s="94"/>
      <c r="N94" s="94"/>
      <c r="O94" s="94"/>
      <c r="P94" s="94"/>
      <c r="Q94" s="94"/>
      <c r="R94" s="64"/>
      <c r="S94" s="100"/>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64"/>
      <c r="AY94" s="64"/>
      <c r="AZ94" s="15"/>
      <c r="BA94" s="15"/>
      <c r="BB94" s="64"/>
      <c r="BC94" s="64"/>
      <c r="BD94" s="64"/>
    </row>
    <row r="95" spans="1:56" x14ac:dyDescent="0.25">
      <c r="A95" s="15"/>
      <c r="B95" s="15"/>
      <c r="C95" s="15"/>
      <c r="D95" s="15"/>
      <c r="E95" s="15"/>
      <c r="F95" s="15"/>
      <c r="G95" s="65"/>
      <c r="H95" s="94"/>
      <c r="I95" s="145"/>
      <c r="J95" s="94"/>
      <c r="K95" s="94"/>
      <c r="L95" s="94"/>
      <c r="M95" s="94"/>
      <c r="N95" s="94"/>
      <c r="O95" s="94"/>
      <c r="P95" s="94"/>
      <c r="Q95" s="94"/>
      <c r="R95" s="64"/>
      <c r="S95" s="100"/>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64"/>
      <c r="AY95" s="64"/>
      <c r="AZ95" s="15"/>
      <c r="BA95" s="15"/>
      <c r="BB95" s="64"/>
      <c r="BC95" s="64"/>
      <c r="BD95" s="64"/>
    </row>
    <row r="96" spans="1:56" x14ac:dyDescent="0.25">
      <c r="A96" s="15"/>
      <c r="B96" s="15"/>
      <c r="C96" s="15"/>
      <c r="D96" s="15"/>
      <c r="E96" s="15" t="s">
        <v>233</v>
      </c>
      <c r="F96" s="15"/>
      <c r="G96" s="65">
        <v>15428.518588359904</v>
      </c>
      <c r="H96" s="94"/>
      <c r="I96" s="145"/>
      <c r="J96" s="94"/>
      <c r="K96" s="94"/>
      <c r="L96" s="94"/>
      <c r="M96" s="94"/>
      <c r="N96" s="94"/>
      <c r="O96" s="94"/>
      <c r="P96" s="94"/>
      <c r="Q96" s="94"/>
      <c r="R96" s="64"/>
      <c r="S96" s="100"/>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64"/>
      <c r="AY96" s="64"/>
      <c r="AZ96" s="15"/>
      <c r="BA96" s="15"/>
      <c r="BB96" s="64"/>
      <c r="BC96" s="64"/>
      <c r="BD96" s="64"/>
    </row>
    <row r="97" spans="1:56" x14ac:dyDescent="0.25">
      <c r="A97" s="15"/>
      <c r="B97" s="15"/>
      <c r="C97" s="15"/>
      <c r="D97" s="15"/>
      <c r="E97" s="15"/>
      <c r="F97" s="15"/>
      <c r="G97" s="65"/>
      <c r="H97" s="94"/>
      <c r="I97" s="145"/>
      <c r="J97" s="94"/>
      <c r="K97" s="94"/>
      <c r="L97" s="94"/>
      <c r="M97" s="94"/>
      <c r="N97" s="94"/>
      <c r="O97" s="94"/>
      <c r="P97" s="94"/>
      <c r="Q97" s="94"/>
      <c r="R97" s="64"/>
      <c r="S97" s="100"/>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64"/>
      <c r="AY97" s="64"/>
      <c r="AZ97" s="15"/>
      <c r="BA97" s="15"/>
      <c r="BB97" s="64"/>
      <c r="BC97" s="64"/>
      <c r="BD97" s="64"/>
    </row>
    <row r="98" spans="1:56" x14ac:dyDescent="0.25">
      <c r="A98" s="15"/>
      <c r="B98" s="15"/>
      <c r="C98" s="15"/>
      <c r="D98" s="15"/>
      <c r="E98" s="15" t="s">
        <v>234</v>
      </c>
      <c r="F98" s="15"/>
      <c r="G98" s="65">
        <v>16522.240141269893</v>
      </c>
      <c r="H98" s="94"/>
      <c r="I98" s="145"/>
      <c r="J98" s="94"/>
      <c r="K98" s="94"/>
      <c r="L98" s="94"/>
      <c r="M98" s="94"/>
      <c r="N98" s="94"/>
      <c r="O98" s="94"/>
      <c r="P98" s="94"/>
      <c r="Q98" s="94"/>
      <c r="R98" s="64"/>
      <c r="S98" s="100"/>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64"/>
      <c r="AY98" s="64"/>
      <c r="AZ98" s="15"/>
      <c r="BA98" s="15"/>
      <c r="BB98" s="64"/>
      <c r="BC98" s="64"/>
      <c r="BD98" s="64"/>
    </row>
    <row r="99" spans="1:56" x14ac:dyDescent="0.25">
      <c r="A99" s="15"/>
      <c r="B99" s="15"/>
      <c r="C99" s="15"/>
      <c r="D99" s="15"/>
      <c r="E99" s="15"/>
      <c r="F99" s="15"/>
      <c r="G99" s="65"/>
      <c r="H99" s="94"/>
      <c r="I99" s="145"/>
      <c r="J99" s="94"/>
      <c r="K99" s="94"/>
      <c r="L99" s="94"/>
      <c r="M99" s="94"/>
      <c r="N99" s="94"/>
      <c r="O99" s="94"/>
      <c r="P99" s="94"/>
      <c r="Q99" s="94"/>
      <c r="R99" s="64"/>
      <c r="S99" s="100"/>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64"/>
      <c r="AY99" s="64"/>
      <c r="AZ99" s="15"/>
      <c r="BA99" s="15"/>
      <c r="BB99" s="64"/>
      <c r="BC99" s="64"/>
      <c r="BD99" s="64"/>
    </row>
    <row r="100" spans="1:56" x14ac:dyDescent="0.25">
      <c r="A100" s="15"/>
      <c r="B100" s="15"/>
      <c r="C100" s="15"/>
      <c r="D100" s="15"/>
      <c r="E100" s="15" t="s">
        <v>235</v>
      </c>
      <c r="F100" s="15"/>
      <c r="G100" s="65">
        <v>23694.472307860262</v>
      </c>
      <c r="H100" s="94"/>
      <c r="I100" s="145"/>
      <c r="J100" s="94"/>
      <c r="K100" s="94"/>
      <c r="L100" s="94"/>
      <c r="M100" s="94"/>
      <c r="N100" s="94"/>
      <c r="O100" s="94"/>
      <c r="P100" s="94"/>
      <c r="Q100" s="94"/>
      <c r="R100" s="64"/>
      <c r="S100" s="100"/>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64"/>
      <c r="AY100" s="64"/>
      <c r="AZ100" s="15"/>
      <c r="BA100" s="15"/>
      <c r="BB100" s="64"/>
      <c r="BC100" s="64"/>
      <c r="BD100" s="64"/>
    </row>
    <row r="101" spans="1:56" ht="14" x14ac:dyDescent="0.3">
      <c r="A101" s="15"/>
      <c r="B101" s="16"/>
      <c r="C101" s="17"/>
      <c r="D101" s="18"/>
      <c r="E101" s="94"/>
      <c r="F101" s="15"/>
      <c r="G101" s="65"/>
      <c r="H101" s="95"/>
      <c r="I101" s="145"/>
      <c r="J101" s="94"/>
      <c r="K101" s="95"/>
      <c r="L101" s="95"/>
      <c r="M101" s="95"/>
      <c r="N101" s="95"/>
      <c r="O101" s="95"/>
      <c r="P101" s="95"/>
      <c r="Q101" s="95"/>
      <c r="R101" s="64"/>
      <c r="S101" s="100"/>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64"/>
      <c r="AY101" s="64"/>
      <c r="AZ101" s="15"/>
      <c r="BA101" s="15"/>
      <c r="BB101" s="64"/>
      <c r="BC101" s="64"/>
      <c r="BD101" s="64"/>
    </row>
    <row r="102" spans="1:56" ht="14" x14ac:dyDescent="0.3">
      <c r="A102" s="15"/>
      <c r="B102" s="19"/>
      <c r="C102" s="17"/>
      <c r="D102" s="15"/>
      <c r="E102" s="15" t="s">
        <v>490</v>
      </c>
      <c r="F102" s="15"/>
      <c r="G102" s="65" t="s">
        <v>153</v>
      </c>
      <c r="H102" s="94"/>
      <c r="I102" s="145"/>
      <c r="J102" s="94"/>
      <c r="K102" s="94"/>
      <c r="L102" s="94"/>
      <c r="M102" s="94"/>
      <c r="N102" s="94"/>
      <c r="O102" s="94"/>
      <c r="P102" s="94"/>
      <c r="Q102" s="94"/>
      <c r="R102" s="64"/>
      <c r="S102" s="100"/>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64"/>
      <c r="AY102" s="64"/>
      <c r="AZ102" s="15"/>
      <c r="BA102" s="15"/>
      <c r="BB102" s="64"/>
      <c r="BC102" s="64"/>
      <c r="BD102" s="64"/>
    </row>
    <row r="103" spans="1:56" x14ac:dyDescent="0.25">
      <c r="A103" s="15"/>
      <c r="B103" s="15"/>
      <c r="C103" s="15"/>
      <c r="D103" s="15"/>
      <c r="E103" s="15"/>
      <c r="F103" s="145"/>
      <c r="G103" s="64"/>
      <c r="H103" s="15"/>
      <c r="I103" s="15"/>
      <c r="J103" s="15"/>
      <c r="K103" s="15"/>
      <c r="L103" s="15"/>
      <c r="M103" s="15"/>
      <c r="N103" s="15"/>
      <c r="O103" s="15"/>
      <c r="P103" s="15"/>
      <c r="Q103" s="15"/>
      <c r="R103" s="64"/>
      <c r="S103" s="100"/>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64"/>
      <c r="AQ103" s="64"/>
      <c r="AR103" s="15"/>
      <c r="AS103" s="15"/>
      <c r="AT103" s="64"/>
      <c r="AU103" s="64"/>
      <c r="AV103" s="64"/>
      <c r="AW103" s="15"/>
      <c r="AX103" s="15"/>
      <c r="AY103" s="15"/>
      <c r="AZ103" s="15"/>
      <c r="BA103" s="15"/>
      <c r="BB103" s="15"/>
      <c r="BC103" s="15"/>
      <c r="BD103" s="15"/>
    </row>
    <row r="104" spans="1:56" ht="12.75" customHeight="1" x14ac:dyDescent="0.3">
      <c r="A104" s="15"/>
      <c r="B104" s="15"/>
      <c r="C104" s="15"/>
      <c r="D104" s="1110" t="s">
        <v>101</v>
      </c>
      <c r="E104" s="1111"/>
      <c r="F104" s="1112"/>
      <c r="G104" s="1110" t="s">
        <v>88</v>
      </c>
      <c r="H104" s="1111"/>
      <c r="I104" s="1112"/>
      <c r="J104" s="56" t="s">
        <v>102</v>
      </c>
      <c r="K104" s="1110" t="s">
        <v>101</v>
      </c>
      <c r="L104" s="1111"/>
      <c r="M104" s="1112"/>
      <c r="N104" s="1110" t="s">
        <v>88</v>
      </c>
      <c r="O104" s="1111"/>
      <c r="P104" s="1112"/>
      <c r="Q104" s="56" t="s">
        <v>102</v>
      </c>
      <c r="R104" s="160" t="s">
        <v>102</v>
      </c>
      <c r="S104" s="161"/>
      <c r="T104" s="57"/>
      <c r="U104" s="15"/>
      <c r="V104" s="15"/>
      <c r="W104" s="15"/>
      <c r="X104" s="15"/>
      <c r="Y104" s="15"/>
      <c r="Z104" s="15"/>
      <c r="AA104" s="15"/>
      <c r="AB104" s="15"/>
      <c r="AC104" s="15"/>
      <c r="AD104" s="15"/>
      <c r="AE104" s="15"/>
      <c r="AF104" s="15"/>
      <c r="AG104" s="15"/>
      <c r="AH104" s="15"/>
      <c r="AI104" s="15"/>
      <c r="AJ104" s="15"/>
      <c r="AK104" s="1106" t="s">
        <v>103</v>
      </c>
      <c r="AL104" s="15"/>
      <c r="AM104" s="15"/>
      <c r="AN104" s="64"/>
      <c r="AO104" s="64"/>
      <c r="AP104" s="15"/>
      <c r="AQ104" s="15"/>
      <c r="AR104" s="64"/>
      <c r="AS104" s="64"/>
      <c r="AT104" s="64"/>
      <c r="AU104" s="15"/>
      <c r="AV104" s="15"/>
      <c r="AW104" s="15"/>
      <c r="AX104" s="15"/>
      <c r="AY104" s="15"/>
      <c r="AZ104" s="15"/>
      <c r="BA104" s="15"/>
      <c r="BB104" s="15"/>
      <c r="BC104" s="15"/>
      <c r="BD104" s="15"/>
    </row>
    <row r="105" spans="1:56" ht="41.25" customHeight="1" x14ac:dyDescent="0.3">
      <c r="A105" s="96" t="s">
        <v>48</v>
      </c>
      <c r="B105" s="97" t="s">
        <v>49</v>
      </c>
      <c r="C105" s="68" t="s">
        <v>50</v>
      </c>
      <c r="D105" s="71" t="s">
        <v>79</v>
      </c>
      <c r="E105" s="72" t="s">
        <v>93</v>
      </c>
      <c r="F105" s="36" t="s">
        <v>104</v>
      </c>
      <c r="G105" s="72" t="s">
        <v>89</v>
      </c>
      <c r="H105" s="71" t="s">
        <v>98</v>
      </c>
      <c r="I105" s="36" t="s">
        <v>105</v>
      </c>
      <c r="J105" s="36" t="s">
        <v>106</v>
      </c>
      <c r="K105" s="71" t="s">
        <v>80</v>
      </c>
      <c r="L105" s="71" t="s">
        <v>94</v>
      </c>
      <c r="M105" s="36" t="s">
        <v>107</v>
      </c>
      <c r="N105" s="71" t="s">
        <v>90</v>
      </c>
      <c r="O105" s="72" t="s">
        <v>99</v>
      </c>
      <c r="P105" s="36" t="s">
        <v>107</v>
      </c>
      <c r="Q105" s="36" t="s">
        <v>108</v>
      </c>
      <c r="R105" s="36" t="s">
        <v>54</v>
      </c>
      <c r="S105" s="526" t="s">
        <v>109</v>
      </c>
      <c r="T105" s="71" t="s">
        <v>110</v>
      </c>
      <c r="U105" s="71" t="s">
        <v>277</v>
      </c>
      <c r="V105" s="71" t="s">
        <v>111</v>
      </c>
      <c r="W105" s="71" t="s">
        <v>91</v>
      </c>
      <c r="X105" s="36" t="s">
        <v>112</v>
      </c>
      <c r="Y105" s="112" t="s">
        <v>54</v>
      </c>
      <c r="Z105" s="577" t="s">
        <v>327</v>
      </c>
      <c r="AA105" s="577" t="s">
        <v>328</v>
      </c>
      <c r="AB105" s="71" t="s">
        <v>58</v>
      </c>
      <c r="AC105" s="71" t="s">
        <v>113</v>
      </c>
      <c r="AD105" s="71" t="s">
        <v>114</v>
      </c>
      <c r="AE105" s="36" t="s">
        <v>115</v>
      </c>
      <c r="AF105" s="71" t="s">
        <v>116</v>
      </c>
      <c r="AG105" s="71" t="s">
        <v>117</v>
      </c>
      <c r="AH105" s="36" t="s">
        <v>118</v>
      </c>
      <c r="AI105" s="36" t="s">
        <v>119</v>
      </c>
      <c r="AJ105" s="97"/>
      <c r="AK105" s="1107"/>
      <c r="AL105" s="15"/>
      <c r="AM105" s="15"/>
      <c r="AN105" s="23" t="s">
        <v>731</v>
      </c>
      <c r="AO105" s="368" t="s">
        <v>288</v>
      </c>
      <c r="AP105" s="368" t="s">
        <v>455</v>
      </c>
      <c r="AQ105" s="527"/>
      <c r="AR105" s="369" t="s">
        <v>456</v>
      </c>
      <c r="AS105" s="368" t="s">
        <v>457</v>
      </c>
      <c r="AT105" s="370" t="s">
        <v>455</v>
      </c>
      <c r="AU105" s="15"/>
      <c r="AV105" s="15"/>
      <c r="AW105" s="15"/>
      <c r="AX105" s="15"/>
      <c r="AY105" s="15"/>
      <c r="AZ105" s="15"/>
      <c r="BA105" s="15"/>
      <c r="BB105" s="15"/>
      <c r="BC105" s="15"/>
      <c r="BD105" s="15"/>
    </row>
    <row r="106" spans="1:56" ht="13" x14ac:dyDescent="0.3">
      <c r="A106" s="74">
        <v>9257010</v>
      </c>
      <c r="B106" s="67" t="s">
        <v>60</v>
      </c>
      <c r="C106" s="68">
        <v>4</v>
      </c>
      <c r="D106" s="75">
        <v>471688.08886919718</v>
      </c>
      <c r="E106" s="75">
        <v>836460.210928043</v>
      </c>
      <c r="F106" s="22">
        <v>1308148.2997972402</v>
      </c>
      <c r="G106" s="75">
        <v>41927.830121706415</v>
      </c>
      <c r="H106" s="75">
        <v>100626.79229209539</v>
      </c>
      <c r="I106" s="22">
        <v>142554.62241380179</v>
      </c>
      <c r="J106" s="22">
        <v>1450702.9222110419</v>
      </c>
      <c r="K106" s="75">
        <v>0</v>
      </c>
      <c r="L106" s="75">
        <v>0</v>
      </c>
      <c r="M106" s="22">
        <v>0</v>
      </c>
      <c r="N106" s="75">
        <v>0</v>
      </c>
      <c r="O106" s="75">
        <v>0</v>
      </c>
      <c r="P106" s="22">
        <v>0</v>
      </c>
      <c r="Q106" s="22">
        <v>0</v>
      </c>
      <c r="R106" s="22">
        <v>1450702.9222110419</v>
      </c>
      <c r="S106" s="98">
        <v>115.33333333333333</v>
      </c>
      <c r="T106" s="75">
        <v>12578.349036511925</v>
      </c>
      <c r="U106" s="67"/>
      <c r="V106" s="75">
        <v>1040000</v>
      </c>
      <c r="W106" s="75">
        <v>113333.33333333333</v>
      </c>
      <c r="X106" s="75">
        <v>1153333.3333333333</v>
      </c>
      <c r="Y106" s="75">
        <v>2059460.7637418972</v>
      </c>
      <c r="Z106" s="75"/>
      <c r="AA106" s="75"/>
      <c r="AB106" s="75">
        <v>906127.43040856393</v>
      </c>
      <c r="AC106" s="75">
        <v>294622.35815307358</v>
      </c>
      <c r="AD106" s="75">
        <v>522463.64845811721</v>
      </c>
      <c r="AE106" s="75">
        <v>817086.00661119074</v>
      </c>
      <c r="AF106" s="75">
        <v>26188.654058050983</v>
      </c>
      <c r="AG106" s="75">
        <v>62852.769739322364</v>
      </c>
      <c r="AH106" s="75">
        <v>89041.42379737334</v>
      </c>
      <c r="AI106" s="75">
        <v>906127.43040856405</v>
      </c>
      <c r="AJ106" s="99"/>
      <c r="AK106" s="528">
        <v>2059460.7637418974</v>
      </c>
      <c r="AL106" s="76" t="s">
        <v>61</v>
      </c>
      <c r="AM106" s="105"/>
      <c r="AN106" s="65">
        <v>306738.64491059916</v>
      </c>
      <c r="AO106" s="89">
        <v>154743.89373670361</v>
      </c>
      <c r="AP106" s="89">
        <v>151994.75117389555</v>
      </c>
      <c r="AQ106" s="527"/>
      <c r="AR106" s="529">
        <v>3.9166666666666572</v>
      </c>
      <c r="AS106" s="529">
        <v>2</v>
      </c>
      <c r="AT106" s="529">
        <v>1.9166666666666572</v>
      </c>
      <c r="AU106" s="15"/>
      <c r="AV106" s="15"/>
      <c r="AW106" s="15"/>
      <c r="AX106" s="15"/>
      <c r="AY106" s="15"/>
      <c r="AZ106" s="15"/>
      <c r="BA106" s="15"/>
      <c r="BB106" s="15"/>
      <c r="BC106" s="15"/>
      <c r="BD106" s="15"/>
    </row>
    <row r="107" spans="1:56" ht="13" x14ac:dyDescent="0.3">
      <c r="A107" s="74">
        <v>9257005</v>
      </c>
      <c r="B107" s="67" t="s">
        <v>63</v>
      </c>
      <c r="C107" s="68">
        <v>4</v>
      </c>
      <c r="D107" s="75">
        <v>303118.87264978001</v>
      </c>
      <c r="E107" s="75">
        <v>431683.08415296261</v>
      </c>
      <c r="F107" s="22">
        <v>734801.95680274256</v>
      </c>
      <c r="G107" s="75">
        <v>117066.59909232882</v>
      </c>
      <c r="H107" s="75">
        <v>259218.89799015666</v>
      </c>
      <c r="I107" s="22">
        <v>376285.49708248547</v>
      </c>
      <c r="J107" s="22">
        <v>1111087.4538852279</v>
      </c>
      <c r="K107" s="75">
        <v>0</v>
      </c>
      <c r="L107" s="75">
        <v>0</v>
      </c>
      <c r="M107" s="22">
        <v>0</v>
      </c>
      <c r="N107" s="75">
        <v>0</v>
      </c>
      <c r="O107" s="75">
        <v>0</v>
      </c>
      <c r="P107" s="22">
        <v>0</v>
      </c>
      <c r="Q107" s="22">
        <v>0</v>
      </c>
      <c r="R107" s="22">
        <v>1111087.4538852279</v>
      </c>
      <c r="S107" s="98">
        <v>88.583333333333343</v>
      </c>
      <c r="T107" s="75">
        <v>12542.849902749515</v>
      </c>
      <c r="U107" s="67"/>
      <c r="V107" s="75">
        <v>585833.33333333337</v>
      </c>
      <c r="W107" s="75">
        <v>300000</v>
      </c>
      <c r="X107" s="75">
        <v>885833.33333333337</v>
      </c>
      <c r="Y107" s="75">
        <v>1668617.8538852278</v>
      </c>
      <c r="Z107" s="75"/>
      <c r="AA107" s="75"/>
      <c r="AB107" s="75">
        <v>782784.52055189444</v>
      </c>
      <c r="AC107" s="75">
        <v>213553.63213551213</v>
      </c>
      <c r="AD107" s="75">
        <v>304129.82783436729</v>
      </c>
      <c r="AE107" s="75">
        <v>517683.45996987942</v>
      </c>
      <c r="AF107" s="75">
        <v>82475.885514404683</v>
      </c>
      <c r="AG107" s="75">
        <v>182625.17506761037</v>
      </c>
      <c r="AH107" s="75">
        <v>265101.06058201508</v>
      </c>
      <c r="AI107" s="75">
        <v>782784.52055189456</v>
      </c>
      <c r="AJ107" s="99"/>
      <c r="AK107" s="528">
        <v>1668617.8538852278</v>
      </c>
      <c r="AL107" s="76" t="s">
        <v>61</v>
      </c>
      <c r="AM107" s="105"/>
      <c r="AN107" s="65">
        <v>122031.12433747799</v>
      </c>
      <c r="AO107" s="89">
        <v>133707.485907725</v>
      </c>
      <c r="AP107" s="89">
        <v>-11676.361570247012</v>
      </c>
      <c r="AQ107" s="527"/>
      <c r="AR107" s="529">
        <v>4.3333333333333286</v>
      </c>
      <c r="AS107" s="529">
        <v>-2</v>
      </c>
      <c r="AT107" s="529">
        <v>6.3333333333333286</v>
      </c>
      <c r="AU107" s="15"/>
      <c r="AV107" s="15"/>
      <c r="AW107" s="15"/>
      <c r="AX107" s="15"/>
      <c r="AY107" s="15"/>
      <c r="AZ107" s="15"/>
      <c r="BA107" s="15"/>
      <c r="BB107" s="15"/>
      <c r="BC107" s="15"/>
      <c r="BD107" s="15"/>
    </row>
    <row r="108" spans="1:56" ht="13" x14ac:dyDescent="0.3">
      <c r="A108" s="74">
        <v>9257025</v>
      </c>
      <c r="B108" s="67" t="s">
        <v>64</v>
      </c>
      <c r="C108" s="68">
        <v>4</v>
      </c>
      <c r="D108" s="75">
        <v>250033.25084695575</v>
      </c>
      <c r="E108" s="75">
        <v>421352.33013098105</v>
      </c>
      <c r="F108" s="22">
        <v>671385.58097793674</v>
      </c>
      <c r="G108" s="75">
        <v>88900.711412250937</v>
      </c>
      <c r="H108" s="75">
        <v>177801.42282450187</v>
      </c>
      <c r="I108" s="22">
        <v>266702.13423675281</v>
      </c>
      <c r="J108" s="22">
        <v>938087.7152146895</v>
      </c>
      <c r="K108" s="75">
        <v>0</v>
      </c>
      <c r="L108" s="75">
        <v>0</v>
      </c>
      <c r="M108" s="22">
        <v>0</v>
      </c>
      <c r="N108" s="75">
        <v>0</v>
      </c>
      <c r="O108" s="75">
        <v>0</v>
      </c>
      <c r="P108" s="22">
        <v>0</v>
      </c>
      <c r="Q108" s="22">
        <v>0</v>
      </c>
      <c r="R108" s="22">
        <v>938087.7152146895</v>
      </c>
      <c r="S108" s="98">
        <v>84.416666666666671</v>
      </c>
      <c r="T108" s="75">
        <v>11112.588926531365</v>
      </c>
      <c r="U108" s="67"/>
      <c r="V108" s="75">
        <v>604166.66666666674</v>
      </c>
      <c r="W108" s="75">
        <v>240000</v>
      </c>
      <c r="X108" s="75">
        <v>844166.66666666674</v>
      </c>
      <c r="Y108" s="75">
        <v>1460460.0148128937</v>
      </c>
      <c r="Z108" s="75"/>
      <c r="AA108" s="75"/>
      <c r="AB108" s="75">
        <v>616293.34814622696</v>
      </c>
      <c r="AC108" s="75">
        <v>164263.77492545042</v>
      </c>
      <c r="AD108" s="75">
        <v>276814.87996696273</v>
      </c>
      <c r="AE108" s="75">
        <v>441078.65489241318</v>
      </c>
      <c r="AF108" s="75">
        <v>58404.897751271259</v>
      </c>
      <c r="AG108" s="75">
        <v>116809.79550254252</v>
      </c>
      <c r="AH108" s="75">
        <v>175214.69325381378</v>
      </c>
      <c r="AI108" s="75">
        <v>616293.34814622696</v>
      </c>
      <c r="AJ108" s="99"/>
      <c r="AK108" s="528">
        <v>1460460.0148128937</v>
      </c>
      <c r="AL108" s="76" t="s">
        <v>61</v>
      </c>
      <c r="AM108" s="105"/>
      <c r="AN108" s="65">
        <v>101276.37319773184</v>
      </c>
      <c r="AO108" s="89">
        <v>65180.497965256167</v>
      </c>
      <c r="AP108" s="89">
        <v>36095.875232475672</v>
      </c>
      <c r="AQ108" s="527"/>
      <c r="AR108" s="529">
        <v>3.9166666666666572</v>
      </c>
      <c r="AS108" s="529">
        <v>1</v>
      </c>
      <c r="AT108" s="529">
        <v>2.9166666666666572</v>
      </c>
      <c r="AU108" s="15"/>
      <c r="AV108" s="15"/>
      <c r="AW108" s="15"/>
      <c r="AX108" s="15"/>
      <c r="AY108" s="15"/>
      <c r="AZ108" s="15"/>
      <c r="BA108" s="15"/>
      <c r="BB108" s="15"/>
      <c r="BC108" s="15"/>
      <c r="BD108" s="15"/>
    </row>
    <row r="109" spans="1:56" ht="13" x14ac:dyDescent="0.3">
      <c r="A109" s="74">
        <v>9257011</v>
      </c>
      <c r="B109" s="67" t="s">
        <v>65</v>
      </c>
      <c r="C109" s="68">
        <v>4</v>
      </c>
      <c r="D109" s="75" t="e">
        <v>#REF!</v>
      </c>
      <c r="E109" s="75" t="e">
        <v>#REF!</v>
      </c>
      <c r="F109" s="22" t="e">
        <v>#REF!</v>
      </c>
      <c r="G109" s="75" t="e">
        <v>#REF!</v>
      </c>
      <c r="H109" s="75" t="e">
        <v>#REF!</v>
      </c>
      <c r="I109" s="22" t="e">
        <v>#REF!</v>
      </c>
      <c r="J109" s="22" t="e">
        <v>#REF!</v>
      </c>
      <c r="K109" s="75" t="e">
        <v>#REF!</v>
      </c>
      <c r="L109" s="75" t="e">
        <v>#REF!</v>
      </c>
      <c r="M109" s="22" t="e">
        <v>#REF!</v>
      </c>
      <c r="N109" s="75" t="e">
        <v>#REF!</v>
      </c>
      <c r="O109" s="75" t="e">
        <v>#REF!</v>
      </c>
      <c r="P109" s="22" t="e">
        <v>#REF!</v>
      </c>
      <c r="Q109" s="22" t="e">
        <v>#REF!</v>
      </c>
      <c r="R109" s="22" t="e">
        <v>#REF!</v>
      </c>
      <c r="S109" s="98" t="e">
        <v>#REF!</v>
      </c>
      <c r="T109" s="75" t="e">
        <v>#REF!</v>
      </c>
      <c r="U109" s="67"/>
      <c r="V109" s="75" t="e">
        <v>#REF!</v>
      </c>
      <c r="W109" s="75" t="e">
        <v>#REF!</v>
      </c>
      <c r="X109" s="75" t="e">
        <v>#REF!</v>
      </c>
      <c r="Y109" s="75" t="e">
        <v>#N/A</v>
      </c>
      <c r="Z109" s="75"/>
      <c r="AA109" s="75"/>
      <c r="AB109" s="75" t="e">
        <v>#N/A</v>
      </c>
      <c r="AC109" s="75" t="e">
        <v>#REF!</v>
      </c>
      <c r="AD109" s="75" t="e">
        <v>#REF!</v>
      </c>
      <c r="AE109" s="75" t="e">
        <v>#REF!</v>
      </c>
      <c r="AF109" s="75" t="e">
        <v>#REF!</v>
      </c>
      <c r="AG109" s="75" t="e">
        <v>#REF!</v>
      </c>
      <c r="AH109" s="75" t="e">
        <v>#REF!</v>
      </c>
      <c r="AI109" s="75" t="e">
        <v>#REF!</v>
      </c>
      <c r="AJ109" s="99"/>
      <c r="AK109" s="528" t="e">
        <v>#REF!</v>
      </c>
      <c r="AL109" s="76" t="s">
        <v>61</v>
      </c>
      <c r="AM109" s="105"/>
      <c r="AN109" s="65" t="e">
        <v>#REF!</v>
      </c>
      <c r="AO109" s="89">
        <v>120750.20859926101</v>
      </c>
      <c r="AP109" s="89" t="e">
        <v>#REF!</v>
      </c>
      <c r="AQ109" s="527"/>
      <c r="AR109" s="529">
        <v>-1.1666666666666643</v>
      </c>
      <c r="AS109" s="529">
        <v>0</v>
      </c>
      <c r="AT109" s="529">
        <v>-1.1666666666666643</v>
      </c>
      <c r="AU109" s="15"/>
      <c r="AV109" s="15"/>
      <c r="AW109" s="15"/>
      <c r="AX109" s="15"/>
      <c r="AY109" s="15"/>
      <c r="AZ109" s="15"/>
      <c r="BA109" s="15"/>
      <c r="BB109" s="15"/>
      <c r="BC109" s="15"/>
      <c r="BD109" s="15"/>
    </row>
    <row r="110" spans="1:56" ht="13" x14ac:dyDescent="0.3">
      <c r="A110" s="74">
        <v>9257024</v>
      </c>
      <c r="B110" s="67" t="s">
        <v>66</v>
      </c>
      <c r="C110" s="68">
        <v>3</v>
      </c>
      <c r="D110" s="75">
        <v>336485.1834975293</v>
      </c>
      <c r="E110" s="75">
        <v>497618.93334141659</v>
      </c>
      <c r="F110" s="22">
        <v>834104.11683894589</v>
      </c>
      <c r="G110" s="75">
        <v>49287.970540483162</v>
      </c>
      <c r="H110" s="75">
        <v>98575.941080966324</v>
      </c>
      <c r="I110" s="22">
        <v>147863.91162144949</v>
      </c>
      <c r="J110" s="22">
        <v>981968.02846039541</v>
      </c>
      <c r="K110" s="75">
        <v>0</v>
      </c>
      <c r="L110" s="75">
        <v>0</v>
      </c>
      <c r="M110" s="22">
        <v>0</v>
      </c>
      <c r="N110" s="75">
        <v>0</v>
      </c>
      <c r="O110" s="75">
        <v>0</v>
      </c>
      <c r="P110" s="22">
        <v>0</v>
      </c>
      <c r="Q110" s="22">
        <v>0</v>
      </c>
      <c r="R110" s="22">
        <v>981968.02846039541</v>
      </c>
      <c r="S110" s="98">
        <v>86.333333333333343</v>
      </c>
      <c r="T110" s="75">
        <v>11374.147047803806</v>
      </c>
      <c r="U110" s="67"/>
      <c r="V110" s="75">
        <v>733333.33333333337</v>
      </c>
      <c r="W110" s="75">
        <v>129999.99999999999</v>
      </c>
      <c r="X110" s="75">
        <v>863333.33333333337</v>
      </c>
      <c r="Y110" s="75">
        <v>1508358.1672773864</v>
      </c>
      <c r="Z110" s="75"/>
      <c r="AA110" s="75"/>
      <c r="AB110" s="75">
        <v>645024.83394405304</v>
      </c>
      <c r="AC110" s="75">
        <v>221026.84946924594</v>
      </c>
      <c r="AD110" s="75">
        <v>326870.69287705381</v>
      </c>
      <c r="AE110" s="75">
        <v>547897.54234629974</v>
      </c>
      <c r="AF110" s="75">
        <v>32375.763865917717</v>
      </c>
      <c r="AG110" s="75">
        <v>64751.527731835435</v>
      </c>
      <c r="AH110" s="75">
        <v>97127.291597753152</v>
      </c>
      <c r="AI110" s="75">
        <v>645024.83394405292</v>
      </c>
      <c r="AJ110" s="99"/>
      <c r="AK110" s="528">
        <v>1508358.1672773862</v>
      </c>
      <c r="AL110" s="76" t="s">
        <v>61</v>
      </c>
      <c r="AM110" s="105"/>
      <c r="AN110" s="65">
        <v>121763.26047094856</v>
      </c>
      <c r="AO110" s="89">
        <v>222610.83826613796</v>
      </c>
      <c r="AP110" s="89">
        <v>-100847.5777951894</v>
      </c>
      <c r="AQ110" s="527"/>
      <c r="AR110" s="529">
        <v>1.9999999999999858</v>
      </c>
      <c r="AS110" s="529">
        <v>-2</v>
      </c>
      <c r="AT110" s="529">
        <v>3.9999999999999858</v>
      </c>
      <c r="AU110" s="15"/>
      <c r="AV110" s="15"/>
      <c r="AW110" s="15"/>
      <c r="AX110" s="15"/>
      <c r="AY110" s="15"/>
      <c r="AZ110" s="15"/>
      <c r="BA110" s="15"/>
      <c r="BB110" s="15"/>
      <c r="BC110" s="15"/>
      <c r="BD110" s="15"/>
    </row>
    <row r="111" spans="1:56" ht="13" x14ac:dyDescent="0.3">
      <c r="A111" s="74">
        <v>9257031</v>
      </c>
      <c r="B111" s="67" t="s">
        <v>84</v>
      </c>
      <c r="C111" s="68">
        <v>4</v>
      </c>
      <c r="D111" s="75">
        <v>510058.90054183692</v>
      </c>
      <c r="E111" s="75">
        <v>705266.62790970039</v>
      </c>
      <c r="F111" s="22">
        <v>1215325.5284515372</v>
      </c>
      <c r="G111" s="75">
        <v>0</v>
      </c>
      <c r="H111" s="75">
        <v>0</v>
      </c>
      <c r="I111" s="22">
        <v>0</v>
      </c>
      <c r="J111" s="22">
        <v>1215325.5284515372</v>
      </c>
      <c r="K111" s="75">
        <v>0</v>
      </c>
      <c r="L111" s="75">
        <v>0</v>
      </c>
      <c r="M111" s="22">
        <v>0</v>
      </c>
      <c r="N111" s="75">
        <v>0</v>
      </c>
      <c r="O111" s="75">
        <v>0</v>
      </c>
      <c r="P111" s="22">
        <v>0</v>
      </c>
      <c r="Q111" s="22">
        <v>0</v>
      </c>
      <c r="R111" s="22">
        <v>1215325.5284515372</v>
      </c>
      <c r="S111" s="98">
        <v>80.416666666666671</v>
      </c>
      <c r="T111" s="75">
        <v>15112.856312350721</v>
      </c>
      <c r="U111" s="67"/>
      <c r="V111" s="75">
        <v>804166.66666666674</v>
      </c>
      <c r="W111" s="75">
        <v>0</v>
      </c>
      <c r="X111" s="75">
        <v>804166.66666666674</v>
      </c>
      <c r="Y111" s="75">
        <v>1725136.1284515373</v>
      </c>
      <c r="Z111" s="75"/>
      <c r="AA111" s="75"/>
      <c r="AB111" s="75">
        <v>920969.4617848706</v>
      </c>
      <c r="AC111" s="75">
        <v>386520.86219986796</v>
      </c>
      <c r="AD111" s="75">
        <v>534448.59958500264</v>
      </c>
      <c r="AE111" s="75">
        <v>920969.4617848706</v>
      </c>
      <c r="AF111" s="75">
        <v>0</v>
      </c>
      <c r="AG111" s="75">
        <v>0</v>
      </c>
      <c r="AH111" s="75">
        <v>0</v>
      </c>
      <c r="AI111" s="75">
        <v>920969.4617848706</v>
      </c>
      <c r="AJ111" s="99"/>
      <c r="AK111" s="528">
        <v>1725136.1284515373</v>
      </c>
      <c r="AL111" s="76" t="s">
        <v>61</v>
      </c>
      <c r="AM111" s="105"/>
      <c r="AN111" s="65">
        <v>0</v>
      </c>
      <c r="AO111" s="89">
        <v>0</v>
      </c>
      <c r="AP111" s="89">
        <v>0</v>
      </c>
      <c r="AQ111" s="527"/>
      <c r="AR111" s="529">
        <v>4.1666666666666714</v>
      </c>
      <c r="AS111" s="529">
        <v>0</v>
      </c>
      <c r="AT111" s="529">
        <v>4.1666666666666714</v>
      </c>
      <c r="AU111" s="15"/>
      <c r="AV111" s="15"/>
      <c r="AW111" s="15"/>
      <c r="AX111" s="15"/>
      <c r="AY111" s="15"/>
      <c r="AZ111" s="15"/>
      <c r="BA111" s="15"/>
      <c r="BB111" s="15"/>
      <c r="BC111" s="15"/>
      <c r="BD111" s="15"/>
    </row>
    <row r="112" spans="1:56" ht="13" x14ac:dyDescent="0.3">
      <c r="A112" s="74">
        <v>9257033</v>
      </c>
      <c r="B112" s="67" t="s">
        <v>74</v>
      </c>
      <c r="C112" s="68">
        <v>3</v>
      </c>
      <c r="D112" s="75">
        <v>383558.56916878762</v>
      </c>
      <c r="E112" s="75">
        <v>613693.71067006013</v>
      </c>
      <c r="F112" s="22">
        <v>997252.27983884769</v>
      </c>
      <c r="G112" s="75">
        <v>0</v>
      </c>
      <c r="H112" s="75">
        <v>0</v>
      </c>
      <c r="I112" s="22">
        <v>0</v>
      </c>
      <c r="J112" s="22">
        <v>997252.27983884769</v>
      </c>
      <c r="K112" s="75">
        <v>0</v>
      </c>
      <c r="L112" s="75">
        <v>0</v>
      </c>
      <c r="M112" s="22">
        <v>0</v>
      </c>
      <c r="N112" s="75">
        <v>0</v>
      </c>
      <c r="O112" s="75">
        <v>0</v>
      </c>
      <c r="P112" s="22">
        <v>0</v>
      </c>
      <c r="Q112" s="22">
        <v>0</v>
      </c>
      <c r="R112" s="22">
        <v>997252.27983884769</v>
      </c>
      <c r="S112" s="98">
        <v>106.16666666666669</v>
      </c>
      <c r="T112" s="75">
        <v>9393.271081684592</v>
      </c>
      <c r="U112" s="67"/>
      <c r="V112" s="75">
        <v>1061666.6666666667</v>
      </c>
      <c r="W112" s="75">
        <v>0</v>
      </c>
      <c r="X112" s="75">
        <v>1061666.6666666667</v>
      </c>
      <c r="Y112" s="75">
        <v>1522775.8798388478</v>
      </c>
      <c r="Z112" s="75"/>
      <c r="AA112" s="75"/>
      <c r="AB112" s="75">
        <v>461109.21317218104</v>
      </c>
      <c r="AC112" s="75">
        <v>177349.69737391575</v>
      </c>
      <c r="AD112" s="75">
        <v>283759.51579826517</v>
      </c>
      <c r="AE112" s="75">
        <v>461109.21317218093</v>
      </c>
      <c r="AF112" s="75">
        <v>0</v>
      </c>
      <c r="AG112" s="75">
        <v>0</v>
      </c>
      <c r="AH112" s="75">
        <v>0</v>
      </c>
      <c r="AI112" s="75">
        <v>461109.21317218093</v>
      </c>
      <c r="AJ112" s="99"/>
      <c r="AK112" s="528">
        <v>1522775.8798388476</v>
      </c>
      <c r="AL112" s="76" t="s">
        <v>61</v>
      </c>
      <c r="AM112" s="105"/>
      <c r="AN112" s="65">
        <v>23292.251327325594</v>
      </c>
      <c r="AO112" s="89">
        <v>0</v>
      </c>
      <c r="AP112" s="89">
        <v>23292.251327325594</v>
      </c>
      <c r="AQ112" s="527"/>
      <c r="AR112" s="529">
        <v>3.3333333333333428</v>
      </c>
      <c r="AS112" s="529">
        <v>0</v>
      </c>
      <c r="AT112" s="529">
        <v>3.3333333333333428</v>
      </c>
      <c r="AU112" s="15"/>
      <c r="AV112" s="15"/>
      <c r="AW112" s="15"/>
      <c r="AX112" s="15"/>
      <c r="AY112" s="15"/>
      <c r="AZ112" s="15"/>
      <c r="BA112" s="15"/>
      <c r="BB112" s="15"/>
      <c r="BC112" s="15"/>
      <c r="BD112" s="15"/>
    </row>
    <row r="113" spans="1:56" ht="13" x14ac:dyDescent="0.3">
      <c r="A113" s="74">
        <v>9257008</v>
      </c>
      <c r="B113" s="67" t="s">
        <v>67</v>
      </c>
      <c r="C113" s="68">
        <v>4</v>
      </c>
      <c r="D113" s="75">
        <v>393789.93722473265</v>
      </c>
      <c r="E113" s="75">
        <v>562443.40528865857</v>
      </c>
      <c r="F113" s="22">
        <v>956233.34251339128</v>
      </c>
      <c r="G113" s="75">
        <v>0</v>
      </c>
      <c r="H113" s="75">
        <v>0</v>
      </c>
      <c r="I113" s="22">
        <v>0</v>
      </c>
      <c r="J113" s="22">
        <v>956233.34251339128</v>
      </c>
      <c r="K113" s="75">
        <v>0</v>
      </c>
      <c r="L113" s="75">
        <v>0</v>
      </c>
      <c r="M113" s="22">
        <v>0</v>
      </c>
      <c r="N113" s="75">
        <v>0</v>
      </c>
      <c r="O113" s="75">
        <v>0</v>
      </c>
      <c r="P113" s="22">
        <v>0</v>
      </c>
      <c r="Q113" s="22">
        <v>0</v>
      </c>
      <c r="R113" s="22">
        <v>956233.34251339128</v>
      </c>
      <c r="S113" s="98">
        <v>100.16666666666667</v>
      </c>
      <c r="T113" s="75">
        <v>9546.4227205995794</v>
      </c>
      <c r="U113" s="67"/>
      <c r="V113" s="75">
        <v>1001666.6666666667</v>
      </c>
      <c r="W113" s="75">
        <v>0</v>
      </c>
      <c r="X113" s="75">
        <v>1001666.6666666667</v>
      </c>
      <c r="Y113" s="75">
        <v>1469555.1425133913</v>
      </c>
      <c r="Z113" s="75"/>
      <c r="AA113" s="75"/>
      <c r="AB113" s="75">
        <v>467888.47584672458</v>
      </c>
      <c r="AC113" s="75">
        <v>192682.85818979089</v>
      </c>
      <c r="AD113" s="75">
        <v>275205.61765693367</v>
      </c>
      <c r="AE113" s="75">
        <v>467888.47584672458</v>
      </c>
      <c r="AF113" s="75">
        <v>0</v>
      </c>
      <c r="AG113" s="75">
        <v>0</v>
      </c>
      <c r="AH113" s="75">
        <v>0</v>
      </c>
      <c r="AI113" s="75">
        <v>467888.47584672458</v>
      </c>
      <c r="AJ113" s="99"/>
      <c r="AK113" s="528">
        <v>1469555.1425133913</v>
      </c>
      <c r="AL113" s="76" t="s">
        <v>61</v>
      </c>
      <c r="AM113" s="105"/>
      <c r="AN113" s="65">
        <v>0</v>
      </c>
      <c r="AO113" s="89">
        <v>0</v>
      </c>
      <c r="AP113" s="89">
        <v>0</v>
      </c>
      <c r="AQ113" s="527"/>
      <c r="AR113" s="529">
        <v>1.75</v>
      </c>
      <c r="AS113" s="529">
        <v>0</v>
      </c>
      <c r="AT113" s="529">
        <v>1.75</v>
      </c>
      <c r="AU113" s="15"/>
      <c r="AV113" s="15"/>
      <c r="AW113" s="15"/>
      <c r="AX113" s="15"/>
      <c r="AY113" s="15"/>
      <c r="AZ113" s="15"/>
      <c r="BA113" s="15"/>
      <c r="BB113" s="15"/>
      <c r="BC113" s="15"/>
      <c r="BD113" s="15"/>
    </row>
    <row r="114" spans="1:56" ht="13" x14ac:dyDescent="0.3">
      <c r="A114" s="74">
        <v>9257034</v>
      </c>
      <c r="B114" s="67" t="s">
        <v>75</v>
      </c>
      <c r="C114" s="68">
        <v>5</v>
      </c>
      <c r="D114" s="75">
        <v>330876.38918571518</v>
      </c>
      <c r="E114" s="75">
        <v>494810.600191365</v>
      </c>
      <c r="F114" s="22">
        <v>825686.98937708023</v>
      </c>
      <c r="G114" s="75">
        <v>96254.949581298948</v>
      </c>
      <c r="H114" s="75">
        <v>180478.03046493558</v>
      </c>
      <c r="I114" s="22">
        <v>276732.98004623456</v>
      </c>
      <c r="J114" s="22">
        <v>1102419.9694233148</v>
      </c>
      <c r="K114" s="75">
        <v>0</v>
      </c>
      <c r="L114" s="75">
        <v>0</v>
      </c>
      <c r="M114" s="22">
        <v>0</v>
      </c>
      <c r="N114" s="75">
        <v>0</v>
      </c>
      <c r="O114" s="75">
        <v>0</v>
      </c>
      <c r="P114" s="22">
        <v>0</v>
      </c>
      <c r="Q114" s="22">
        <v>0</v>
      </c>
      <c r="R114" s="22">
        <v>1102419.9694233148</v>
      </c>
      <c r="S114" s="98">
        <v>122.16666666666667</v>
      </c>
      <c r="T114" s="75">
        <v>9023.9015232467791</v>
      </c>
      <c r="U114" s="67"/>
      <c r="V114" s="75">
        <v>915000</v>
      </c>
      <c r="W114" s="75">
        <v>306666.66666666663</v>
      </c>
      <c r="X114" s="75">
        <v>1221666.6666666665</v>
      </c>
      <c r="Y114" s="75">
        <v>1706163.7038650778</v>
      </c>
      <c r="Z114" s="75"/>
      <c r="AA114" s="75"/>
      <c r="AB114" s="75">
        <v>484497.0371984113</v>
      </c>
      <c r="AC114" s="75">
        <v>145415.20898178779</v>
      </c>
      <c r="AD114" s="75">
        <v>217461.83525003714</v>
      </c>
      <c r="AE114" s="75">
        <v>362877.04423182493</v>
      </c>
      <c r="AF114" s="75">
        <v>42302.60624924735</v>
      </c>
      <c r="AG114" s="75">
        <v>79317.386717338784</v>
      </c>
      <c r="AH114" s="75">
        <v>121619.99296658614</v>
      </c>
      <c r="AI114" s="75">
        <v>484497.03719841107</v>
      </c>
      <c r="AJ114" s="99"/>
      <c r="AK114" s="528">
        <v>1706163.7038650778</v>
      </c>
      <c r="AL114" s="76" t="s">
        <v>61</v>
      </c>
      <c r="AM114" s="105"/>
      <c r="AN114" s="65">
        <v>26802.543521082673</v>
      </c>
      <c r="AO114" s="89">
        <v>23434.031478687801</v>
      </c>
      <c r="AP114" s="89">
        <v>3368.512042394872</v>
      </c>
      <c r="AQ114" s="527"/>
      <c r="AR114" s="529">
        <v>7.8333333333333144</v>
      </c>
      <c r="AS114" s="529">
        <v>0</v>
      </c>
      <c r="AT114" s="529">
        <v>7.8333333333333144</v>
      </c>
      <c r="AU114" s="15"/>
      <c r="AV114" s="15"/>
      <c r="AW114" s="15"/>
      <c r="AX114" s="15"/>
      <c r="AY114" s="15"/>
      <c r="AZ114" s="15"/>
      <c r="BA114" s="15"/>
      <c r="BB114" s="15"/>
      <c r="BC114" s="15"/>
      <c r="BD114" s="15"/>
    </row>
    <row r="115" spans="1:56" ht="13" x14ac:dyDescent="0.3">
      <c r="A115" s="74">
        <v>9257002</v>
      </c>
      <c r="B115" s="67" t="s">
        <v>68</v>
      </c>
      <c r="C115" s="68">
        <v>5</v>
      </c>
      <c r="D115" s="75">
        <v>600098.1494541727</v>
      </c>
      <c r="E115" s="75">
        <v>884648.00045363477</v>
      </c>
      <c r="F115" s="22">
        <v>1484746.1499078074</v>
      </c>
      <c r="G115" s="75">
        <v>0</v>
      </c>
      <c r="H115" s="75">
        <v>0</v>
      </c>
      <c r="I115" s="22">
        <v>0</v>
      </c>
      <c r="J115" s="22">
        <v>1484746.1499078074</v>
      </c>
      <c r="K115" s="75">
        <v>0</v>
      </c>
      <c r="L115" s="75">
        <v>0</v>
      </c>
      <c r="M115" s="22">
        <v>0</v>
      </c>
      <c r="N115" s="75">
        <v>0</v>
      </c>
      <c r="O115" s="75">
        <v>0</v>
      </c>
      <c r="P115" s="22">
        <v>0</v>
      </c>
      <c r="Q115" s="22">
        <v>0</v>
      </c>
      <c r="R115" s="22">
        <v>1484746.1499078074</v>
      </c>
      <c r="S115" s="98">
        <v>155.66666666666669</v>
      </c>
      <c r="T115" s="75">
        <v>9537.9838323841996</v>
      </c>
      <c r="U115" s="67"/>
      <c r="V115" s="75">
        <v>1556666.6666666667</v>
      </c>
      <c r="W115" s="75">
        <v>0</v>
      </c>
      <c r="X115" s="75">
        <v>1556666.6666666667</v>
      </c>
      <c r="Y115" s="75">
        <v>2091647.4499078074</v>
      </c>
      <c r="Z115" s="75"/>
      <c r="AA115" s="75"/>
      <c r="AB115" s="75">
        <v>534980.78324114066</v>
      </c>
      <c r="AC115" s="75">
        <v>216226.17309799846</v>
      </c>
      <c r="AD115" s="75">
        <v>318754.61014314211</v>
      </c>
      <c r="AE115" s="75">
        <v>534980.78324114054</v>
      </c>
      <c r="AF115" s="75">
        <v>0</v>
      </c>
      <c r="AG115" s="75">
        <v>0</v>
      </c>
      <c r="AH115" s="75">
        <v>0</v>
      </c>
      <c r="AI115" s="75">
        <v>534980.78324114054</v>
      </c>
      <c r="AJ115" s="99"/>
      <c r="AK115" s="528">
        <v>2091647.4499078072</v>
      </c>
      <c r="AL115" s="76" t="s">
        <v>61</v>
      </c>
      <c r="AM115" s="105"/>
      <c r="AN115" s="65">
        <v>49509.25533678184</v>
      </c>
      <c r="AO115" s="89">
        <v>22603.948241494982</v>
      </c>
      <c r="AP115" s="89">
        <v>26905.307095286858</v>
      </c>
      <c r="AQ115" s="527"/>
      <c r="AR115" s="529">
        <v>3.3333333333333428</v>
      </c>
      <c r="AS115" s="529">
        <v>1</v>
      </c>
      <c r="AT115" s="529">
        <v>2.3333333333333428</v>
      </c>
      <c r="AU115" s="15"/>
      <c r="AV115" s="15"/>
      <c r="AW115" s="15"/>
      <c r="AX115" s="15"/>
      <c r="AY115" s="15"/>
      <c r="AZ115" s="15"/>
      <c r="BA115" s="15"/>
      <c r="BB115" s="15"/>
      <c r="BC115" s="15"/>
      <c r="BD115" s="15"/>
    </row>
    <row r="116" spans="1:56" ht="13" x14ac:dyDescent="0.3">
      <c r="A116" s="74">
        <v>9257009</v>
      </c>
      <c r="B116" s="67" t="s">
        <v>69</v>
      </c>
      <c r="C116" s="68">
        <v>4</v>
      </c>
      <c r="D116" s="75">
        <v>794259.90960403963</v>
      </c>
      <c r="E116" s="75">
        <v>1141855.3754200011</v>
      </c>
      <c r="F116" s="22">
        <v>1936115.2850240408</v>
      </c>
      <c r="G116" s="75">
        <v>27329.373233687384</v>
      </c>
      <c r="H116" s="75">
        <v>75155.776392640313</v>
      </c>
      <c r="I116" s="22">
        <v>102485.14962632769</v>
      </c>
      <c r="J116" s="22">
        <v>2038600.4346503685</v>
      </c>
      <c r="K116" s="75">
        <v>0</v>
      </c>
      <c r="L116" s="75">
        <v>0</v>
      </c>
      <c r="M116" s="22">
        <v>0</v>
      </c>
      <c r="N116" s="75">
        <v>0</v>
      </c>
      <c r="O116" s="75">
        <v>0</v>
      </c>
      <c r="P116" s="22">
        <v>0</v>
      </c>
      <c r="Q116" s="22">
        <v>0</v>
      </c>
      <c r="R116" s="22">
        <v>2038600.4346503685</v>
      </c>
      <c r="S116" s="98">
        <v>198.91666666666669</v>
      </c>
      <c r="T116" s="75">
        <v>10248.514962632769</v>
      </c>
      <c r="U116" s="67"/>
      <c r="V116" s="75">
        <v>1889166.6666666667</v>
      </c>
      <c r="W116" s="75">
        <v>100000</v>
      </c>
      <c r="X116" s="75">
        <v>1989166.6666666667</v>
      </c>
      <c r="Y116" s="75">
        <v>2800568.4583898229</v>
      </c>
      <c r="Z116" s="75"/>
      <c r="AA116" s="75"/>
      <c r="AB116" s="75">
        <v>811401.79172315612</v>
      </c>
      <c r="AC116" s="75">
        <v>316130.56820382696</v>
      </c>
      <c r="AD116" s="75">
        <v>454480.18246077048</v>
      </c>
      <c r="AE116" s="75">
        <v>770610.75066459738</v>
      </c>
      <c r="AF116" s="75">
        <v>10877.610948948883</v>
      </c>
      <c r="AG116" s="75">
        <v>29913.430109609428</v>
      </c>
      <c r="AH116" s="75">
        <v>40791.041058558309</v>
      </c>
      <c r="AI116" s="75">
        <v>811401.79172315565</v>
      </c>
      <c r="AJ116" s="99"/>
      <c r="AK116" s="528">
        <v>2800568.4583898229</v>
      </c>
      <c r="AL116" s="76" t="s">
        <v>61</v>
      </c>
      <c r="AM116" s="105"/>
      <c r="AN116" s="65">
        <v>224893.22423236337</v>
      </c>
      <c r="AO116" s="89">
        <v>0</v>
      </c>
      <c r="AP116" s="89">
        <v>224893.22423236337</v>
      </c>
      <c r="AQ116" s="527"/>
      <c r="AR116" s="529">
        <v>1.4166666666666572</v>
      </c>
      <c r="AS116" s="529">
        <v>0</v>
      </c>
      <c r="AT116" s="529">
        <v>1.4166666666666572</v>
      </c>
      <c r="AU116" s="15"/>
      <c r="AV116" s="15"/>
      <c r="AW116" s="15"/>
      <c r="AX116" s="15"/>
      <c r="AY116" s="15"/>
      <c r="AZ116" s="15"/>
      <c r="BA116" s="15"/>
      <c r="BB116" s="15"/>
      <c r="BC116" s="15"/>
      <c r="BD116" s="15"/>
    </row>
    <row r="117" spans="1:56" ht="13" x14ac:dyDescent="0.3">
      <c r="A117" s="74">
        <v>9257029</v>
      </c>
      <c r="B117" s="67" t="s">
        <v>278</v>
      </c>
      <c r="C117" s="68">
        <v>3</v>
      </c>
      <c r="D117" s="75">
        <v>491167.83015139849</v>
      </c>
      <c r="E117" s="75">
        <v>696450.79506082926</v>
      </c>
      <c r="F117" s="22">
        <v>1187618.6252122277</v>
      </c>
      <c r="G117" s="75">
        <v>0</v>
      </c>
      <c r="H117" s="75">
        <v>0</v>
      </c>
      <c r="I117" s="22">
        <v>0</v>
      </c>
      <c r="J117" s="22">
        <v>1187618.6252122277</v>
      </c>
      <c r="K117" s="75">
        <v>0</v>
      </c>
      <c r="L117" s="75">
        <v>0</v>
      </c>
      <c r="M117" s="22">
        <v>0</v>
      </c>
      <c r="N117" s="75">
        <v>0</v>
      </c>
      <c r="O117" s="75">
        <v>0</v>
      </c>
      <c r="P117" s="22">
        <v>0</v>
      </c>
      <c r="Q117" s="22">
        <v>0</v>
      </c>
      <c r="R117" s="22">
        <v>1187618.6252122277</v>
      </c>
      <c r="S117" s="98">
        <v>78.583333333333343</v>
      </c>
      <c r="T117" s="75">
        <v>15112.856312350721</v>
      </c>
      <c r="U117" s="67"/>
      <c r="V117" s="75">
        <v>785833.33333333337</v>
      </c>
      <c r="W117" s="75">
        <v>0</v>
      </c>
      <c r="X117" s="75">
        <v>785833.33333333337</v>
      </c>
      <c r="Y117" s="75">
        <v>1674461.2252122278</v>
      </c>
      <c r="Z117" s="75"/>
      <c r="AA117" s="75"/>
      <c r="AB117" s="75">
        <v>888627.89187889441</v>
      </c>
      <c r="AC117" s="75">
        <v>367513.1260156614</v>
      </c>
      <c r="AD117" s="75">
        <v>521114.76586323278</v>
      </c>
      <c r="AE117" s="75">
        <v>888627.89187889418</v>
      </c>
      <c r="AF117" s="75">
        <v>0</v>
      </c>
      <c r="AG117" s="75">
        <v>0</v>
      </c>
      <c r="AH117" s="75">
        <v>0</v>
      </c>
      <c r="AI117" s="75">
        <v>888627.89187889418</v>
      </c>
      <c r="AJ117" s="99"/>
      <c r="AK117" s="528">
        <v>1674461.2252122276</v>
      </c>
      <c r="AL117" s="76" t="s">
        <v>61</v>
      </c>
      <c r="AM117" s="105"/>
      <c r="AN117" s="65">
        <v>0</v>
      </c>
      <c r="AO117" s="89">
        <v>0</v>
      </c>
      <c r="AP117" s="89">
        <v>0</v>
      </c>
      <c r="AQ117" s="527"/>
      <c r="AR117" s="529">
        <v>12.416666666666664</v>
      </c>
      <c r="AS117" s="529">
        <v>0</v>
      </c>
      <c r="AT117" s="529">
        <v>12.416666666666664</v>
      </c>
      <c r="AU117" s="15"/>
      <c r="AV117" s="15"/>
      <c r="AW117" s="15"/>
      <c r="AX117" s="15"/>
      <c r="AY117" s="15"/>
      <c r="AZ117" s="15"/>
      <c r="BA117" s="15"/>
      <c r="BB117" s="15"/>
      <c r="BC117" s="15"/>
      <c r="BD117" s="15"/>
    </row>
    <row r="118" spans="1:56" ht="13" x14ac:dyDescent="0.3">
      <c r="A118" s="74">
        <v>9257032</v>
      </c>
      <c r="B118" s="67" t="s">
        <v>380</v>
      </c>
      <c r="C118" s="68">
        <v>4</v>
      </c>
      <c r="D118" s="75">
        <v>654890.44020186469</v>
      </c>
      <c r="E118" s="75">
        <v>916846.61628261057</v>
      </c>
      <c r="F118" s="22">
        <v>1571737.0564844753</v>
      </c>
      <c r="G118" s="75">
        <v>0</v>
      </c>
      <c r="H118" s="75">
        <v>0</v>
      </c>
      <c r="I118" s="22">
        <v>0</v>
      </c>
      <c r="J118" s="22">
        <v>1571737.0564844753</v>
      </c>
      <c r="K118" s="75">
        <v>0</v>
      </c>
      <c r="L118" s="75">
        <v>0</v>
      </c>
      <c r="M118" s="22">
        <v>0</v>
      </c>
      <c r="N118" s="75">
        <v>0</v>
      </c>
      <c r="O118" s="75">
        <v>0</v>
      </c>
      <c r="P118" s="22">
        <v>0</v>
      </c>
      <c r="Q118" s="22">
        <v>0</v>
      </c>
      <c r="R118" s="22">
        <v>1571737.0564844753</v>
      </c>
      <c r="S118" s="98">
        <v>104</v>
      </c>
      <c r="T118" s="75">
        <v>15112.856312350723</v>
      </c>
      <c r="U118" s="67"/>
      <c r="V118" s="75">
        <v>1040000.0000000001</v>
      </c>
      <c r="W118" s="75">
        <v>0</v>
      </c>
      <c r="X118" s="75">
        <v>1040000.0000000001</v>
      </c>
      <c r="Y118" s="75">
        <v>2065619.1564844754</v>
      </c>
      <c r="Z118" s="75"/>
      <c r="AA118" s="75"/>
      <c r="AB118" s="75">
        <v>1025619.1564844752</v>
      </c>
      <c r="AC118" s="75">
        <v>427341.31520186481</v>
      </c>
      <c r="AD118" s="75">
        <v>598277.84128261067</v>
      </c>
      <c r="AE118" s="75">
        <v>1025619.1564844755</v>
      </c>
      <c r="AF118" s="75">
        <v>0</v>
      </c>
      <c r="AG118" s="75">
        <v>0</v>
      </c>
      <c r="AH118" s="75">
        <v>0</v>
      </c>
      <c r="AI118" s="75">
        <v>1025619.1564844755</v>
      </c>
      <c r="AJ118" s="99"/>
      <c r="AK118" s="528">
        <v>2065619.1564844756</v>
      </c>
      <c r="AL118" s="76" t="s">
        <v>61</v>
      </c>
      <c r="AM118" s="105"/>
      <c r="AN118" s="65">
        <v>0</v>
      </c>
      <c r="AO118" s="89">
        <v>0</v>
      </c>
      <c r="AP118" s="89">
        <v>0</v>
      </c>
      <c r="AQ118" s="527"/>
      <c r="AR118" s="529">
        <v>6</v>
      </c>
      <c r="AS118" s="529">
        <v>0</v>
      </c>
      <c r="AT118" s="529">
        <v>6</v>
      </c>
      <c r="AU118" s="15"/>
      <c r="AV118" s="15"/>
      <c r="AW118" s="15"/>
      <c r="AX118" s="15"/>
      <c r="AY118" s="15"/>
      <c r="AZ118" s="15"/>
      <c r="BA118" s="15"/>
      <c r="BB118" s="15"/>
      <c r="BC118" s="15"/>
      <c r="BD118" s="15"/>
    </row>
    <row r="119" spans="1:56" ht="13" x14ac:dyDescent="0.3">
      <c r="A119" s="74">
        <v>9257030</v>
      </c>
      <c r="B119" s="67" t="s">
        <v>383</v>
      </c>
      <c r="C119" s="68">
        <v>4</v>
      </c>
      <c r="D119" s="75">
        <v>453385.68937052169</v>
      </c>
      <c r="E119" s="75">
        <v>617108.29942098784</v>
      </c>
      <c r="F119" s="22">
        <v>1070493.9887915095</v>
      </c>
      <c r="G119" s="75">
        <v>0</v>
      </c>
      <c r="H119" s="75">
        <v>0</v>
      </c>
      <c r="I119" s="22">
        <v>0</v>
      </c>
      <c r="J119" s="22">
        <v>1070493.9887915095</v>
      </c>
      <c r="K119" s="75">
        <v>0</v>
      </c>
      <c r="L119" s="75">
        <v>0</v>
      </c>
      <c r="M119" s="22">
        <v>0</v>
      </c>
      <c r="N119" s="75">
        <v>0</v>
      </c>
      <c r="O119" s="75">
        <v>0</v>
      </c>
      <c r="P119" s="22">
        <v>0</v>
      </c>
      <c r="Q119" s="22">
        <v>0</v>
      </c>
      <c r="R119" s="22">
        <v>1070493.9887915095</v>
      </c>
      <c r="S119" s="98">
        <v>70.833333333333343</v>
      </c>
      <c r="T119" s="75">
        <v>15112.856312350721</v>
      </c>
      <c r="U119" s="67"/>
      <c r="V119" s="75">
        <v>708333.33333333337</v>
      </c>
      <c r="W119" s="75">
        <v>0</v>
      </c>
      <c r="X119" s="75">
        <v>708333.33333333337</v>
      </c>
      <c r="Y119" s="75">
        <v>1561650.1251847411</v>
      </c>
      <c r="Z119" s="75"/>
      <c r="AA119" s="75"/>
      <c r="AB119" s="75">
        <v>853316.79185140773</v>
      </c>
      <c r="AC119" s="75">
        <v>361404.75890177267</v>
      </c>
      <c r="AD119" s="75">
        <v>491912.03294963489</v>
      </c>
      <c r="AE119" s="75">
        <v>853316.79185140762</v>
      </c>
      <c r="AF119" s="75">
        <v>0</v>
      </c>
      <c r="AG119" s="75">
        <v>0</v>
      </c>
      <c r="AH119" s="75">
        <v>0</v>
      </c>
      <c r="AI119" s="75">
        <v>853316.79185140762</v>
      </c>
      <c r="AJ119" s="99"/>
      <c r="AK119" s="528">
        <v>1561650.1251847409</v>
      </c>
      <c r="AL119" s="76" t="s">
        <v>61</v>
      </c>
      <c r="AM119" s="105"/>
      <c r="AN119" s="65">
        <v>0</v>
      </c>
      <c r="AO119" s="89">
        <v>0</v>
      </c>
      <c r="AP119" s="89">
        <v>0</v>
      </c>
      <c r="AQ119" s="527"/>
      <c r="AR119" s="529">
        <v>2.25</v>
      </c>
      <c r="AS119" s="529">
        <v>0</v>
      </c>
      <c r="AT119" s="529">
        <v>2.25</v>
      </c>
      <c r="AU119" s="15"/>
      <c r="AV119" s="15"/>
      <c r="AW119" s="15"/>
      <c r="AX119" s="15"/>
      <c r="AY119" s="15"/>
      <c r="AZ119" s="15"/>
      <c r="BA119" s="15"/>
      <c r="BB119" s="15"/>
      <c r="BC119" s="15"/>
      <c r="BD119" s="15"/>
    </row>
    <row r="120" spans="1:56" ht="13" x14ac:dyDescent="0.3">
      <c r="A120" s="74">
        <v>9257028</v>
      </c>
      <c r="B120" s="67" t="s">
        <v>70</v>
      </c>
      <c r="C120" s="68">
        <v>5</v>
      </c>
      <c r="D120" s="75">
        <v>596696.89775664592</v>
      </c>
      <c r="E120" s="75">
        <v>899635.32277155854</v>
      </c>
      <c r="F120" s="22">
        <v>1496332.2205282045</v>
      </c>
      <c r="G120" s="75">
        <v>20399.893940398149</v>
      </c>
      <c r="H120" s="75">
        <v>73439.618185433341</v>
      </c>
      <c r="I120" s="22">
        <v>93839.51212583149</v>
      </c>
      <c r="J120" s="22">
        <v>1590171.732654036</v>
      </c>
      <c r="K120" s="75">
        <v>0</v>
      </c>
      <c r="L120" s="75">
        <v>0</v>
      </c>
      <c r="M120" s="22">
        <v>0</v>
      </c>
      <c r="N120" s="75">
        <v>0</v>
      </c>
      <c r="O120" s="75">
        <v>0</v>
      </c>
      <c r="P120" s="22">
        <v>0</v>
      </c>
      <c r="Q120" s="22">
        <v>0</v>
      </c>
      <c r="R120" s="22">
        <v>1590171.732654036</v>
      </c>
      <c r="S120" s="98">
        <v>129.91666666666669</v>
      </c>
      <c r="T120" s="75">
        <v>12239.936364238891</v>
      </c>
      <c r="U120" s="67"/>
      <c r="V120" s="75">
        <v>1222500</v>
      </c>
      <c r="W120" s="75">
        <v>76666.666666666657</v>
      </c>
      <c r="X120" s="75">
        <v>1299166.6666666667</v>
      </c>
      <c r="Y120" s="75">
        <v>2243653.5326540358</v>
      </c>
      <c r="Z120" s="75"/>
      <c r="AA120" s="75"/>
      <c r="AB120" s="75">
        <v>944486.86598736909</v>
      </c>
      <c r="AC120" s="75">
        <v>354409.76048916666</v>
      </c>
      <c r="AD120" s="75">
        <v>534340.86966058973</v>
      </c>
      <c r="AE120" s="75">
        <v>888750.63014975633</v>
      </c>
      <c r="AF120" s="75">
        <v>12116.573008176638</v>
      </c>
      <c r="AG120" s="75">
        <v>43619.662829435896</v>
      </c>
      <c r="AH120" s="75">
        <v>55736.235837612534</v>
      </c>
      <c r="AI120" s="75">
        <v>944486.86598736886</v>
      </c>
      <c r="AJ120" s="99"/>
      <c r="AK120" s="528">
        <v>2243653.5326540358</v>
      </c>
      <c r="AL120" s="76" t="s">
        <v>61</v>
      </c>
      <c r="AM120" s="105"/>
      <c r="AN120" s="65">
        <v>388021.87319279567</v>
      </c>
      <c r="AO120" s="89">
        <v>261776.17157900496</v>
      </c>
      <c r="AP120" s="89">
        <v>126245.7016137907</v>
      </c>
      <c r="AQ120" s="527"/>
      <c r="AR120" s="529">
        <v>9.9166666666666572</v>
      </c>
      <c r="AS120" s="529">
        <v>0</v>
      </c>
      <c r="AT120" s="529">
        <v>9.9166666666666572</v>
      </c>
      <c r="AU120" s="15"/>
      <c r="AV120" s="15"/>
      <c r="AW120" s="15"/>
      <c r="AX120" s="15"/>
      <c r="AY120" s="15"/>
      <c r="AZ120" s="15"/>
      <c r="BA120" s="15"/>
      <c r="BB120" s="15"/>
      <c r="BC120" s="15"/>
      <c r="BD120" s="15"/>
    </row>
    <row r="121" spans="1:56" ht="13" x14ac:dyDescent="0.3">
      <c r="A121" s="74">
        <v>9257021</v>
      </c>
      <c r="B121" s="67" t="s">
        <v>71</v>
      </c>
      <c r="C121" s="68">
        <v>5</v>
      </c>
      <c r="D121" s="75">
        <v>677446.98594264616</v>
      </c>
      <c r="E121" s="75">
        <v>998933.66211187816</v>
      </c>
      <c r="F121" s="22">
        <v>1676380.6480545243</v>
      </c>
      <c r="G121" s="75">
        <v>0</v>
      </c>
      <c r="H121" s="75">
        <v>0</v>
      </c>
      <c r="I121" s="22">
        <v>0</v>
      </c>
      <c r="J121" s="22">
        <v>1676380.6480545243</v>
      </c>
      <c r="K121" s="75">
        <v>0</v>
      </c>
      <c r="L121" s="75">
        <v>0</v>
      </c>
      <c r="M121" s="22">
        <v>0</v>
      </c>
      <c r="N121" s="75">
        <v>0</v>
      </c>
      <c r="O121" s="75">
        <v>0</v>
      </c>
      <c r="P121" s="22">
        <v>0</v>
      </c>
      <c r="Q121" s="22">
        <v>0</v>
      </c>
      <c r="R121" s="22">
        <v>1676380.6480545243</v>
      </c>
      <c r="S121" s="98">
        <v>174.25</v>
      </c>
      <c r="T121" s="75">
        <v>9620.548912794975</v>
      </c>
      <c r="U121" s="67"/>
      <c r="V121" s="75">
        <v>1742500</v>
      </c>
      <c r="W121" s="75">
        <v>0</v>
      </c>
      <c r="X121" s="75">
        <v>1742500</v>
      </c>
      <c r="Y121" s="75">
        <v>2343002.8480545245</v>
      </c>
      <c r="Z121" s="75"/>
      <c r="AA121" s="75"/>
      <c r="AB121" s="75">
        <v>600502.84805452451</v>
      </c>
      <c r="AC121" s="75">
        <v>242670.92616263661</v>
      </c>
      <c r="AD121" s="75">
        <v>357831.92189188785</v>
      </c>
      <c r="AE121" s="75">
        <v>600502.84805452451</v>
      </c>
      <c r="AF121" s="75">
        <v>0</v>
      </c>
      <c r="AG121" s="75">
        <v>0</v>
      </c>
      <c r="AH121" s="75">
        <v>0</v>
      </c>
      <c r="AI121" s="75">
        <v>600502.84805452451</v>
      </c>
      <c r="AJ121" s="99"/>
      <c r="AK121" s="528">
        <v>2343002.8480545245</v>
      </c>
      <c r="AL121" s="76" t="s">
        <v>61</v>
      </c>
      <c r="AM121" s="105"/>
      <c r="AN121" s="65">
        <v>48289.611691750295</v>
      </c>
      <c r="AO121" s="89">
        <v>22107.42859712529</v>
      </c>
      <c r="AP121" s="89">
        <v>26182.183094625005</v>
      </c>
      <c r="AQ121" s="527"/>
      <c r="AR121" s="529">
        <v>5.25</v>
      </c>
      <c r="AS121" s="529">
        <v>1</v>
      </c>
      <c r="AT121" s="529">
        <v>4.25</v>
      </c>
      <c r="AU121" s="15"/>
      <c r="AV121" s="15"/>
      <c r="AW121" s="15"/>
      <c r="AX121" s="15"/>
      <c r="AY121" s="15"/>
      <c r="AZ121" s="15"/>
      <c r="BA121" s="15"/>
      <c r="BB121" s="15"/>
      <c r="BC121" s="15"/>
      <c r="BD121" s="15"/>
    </row>
    <row r="122" spans="1:56" ht="13" x14ac:dyDescent="0.3">
      <c r="A122" s="74">
        <v>9257015</v>
      </c>
      <c r="B122" s="67" t="s">
        <v>72</v>
      </c>
      <c r="C122" s="68">
        <v>6</v>
      </c>
      <c r="D122" s="75">
        <v>913523.01683981321</v>
      </c>
      <c r="E122" s="75">
        <v>1198640.5144723291</v>
      </c>
      <c r="F122" s="22">
        <v>2112163.5313121425</v>
      </c>
      <c r="G122" s="75">
        <v>9831.6378493970897</v>
      </c>
      <c r="H122" s="75">
        <v>104870.8037269023</v>
      </c>
      <c r="I122" s="22">
        <v>114702.44157629939</v>
      </c>
      <c r="J122" s="22">
        <v>2226865.9728884418</v>
      </c>
      <c r="K122" s="75">
        <v>0</v>
      </c>
      <c r="L122" s="75">
        <v>0</v>
      </c>
      <c r="M122" s="22">
        <v>0</v>
      </c>
      <c r="N122" s="75">
        <v>0</v>
      </c>
      <c r="O122" s="75">
        <v>0</v>
      </c>
      <c r="P122" s="22">
        <v>0</v>
      </c>
      <c r="Q122" s="22">
        <v>0</v>
      </c>
      <c r="R122" s="22">
        <v>2226865.9728884418</v>
      </c>
      <c r="S122" s="98">
        <v>226.5</v>
      </c>
      <c r="T122" s="75">
        <v>9831.6378493970933</v>
      </c>
      <c r="U122" s="67"/>
      <c r="V122" s="75">
        <v>2148333.3333333335</v>
      </c>
      <c r="W122" s="75">
        <v>116666.66666666666</v>
      </c>
      <c r="X122" s="75">
        <v>2265000</v>
      </c>
      <c r="Y122" s="75">
        <v>3007764.8728884417</v>
      </c>
      <c r="Z122" s="75"/>
      <c r="AA122" s="75"/>
      <c r="AB122" s="75">
        <v>742764.87288844166</v>
      </c>
      <c r="AC122" s="75">
        <v>304703.02916505228</v>
      </c>
      <c r="AD122" s="75">
        <v>399803.1674156696</v>
      </c>
      <c r="AE122" s="75">
        <v>704506.19658072188</v>
      </c>
      <c r="AF122" s="75">
        <v>3279.3151120902494</v>
      </c>
      <c r="AG122" s="75">
        <v>34979.361195629324</v>
      </c>
      <c r="AH122" s="75">
        <v>38258.676307719572</v>
      </c>
      <c r="AI122" s="75">
        <v>742764.87288844143</v>
      </c>
      <c r="AJ122" s="99"/>
      <c r="AK122" s="528">
        <v>3007764.8728884417</v>
      </c>
      <c r="AL122" s="76" t="s">
        <v>61</v>
      </c>
      <c r="AM122" s="105"/>
      <c r="AN122" s="65">
        <v>47704.870913158658</v>
      </c>
      <c r="AO122" s="89">
        <v>45215.482530625093</v>
      </c>
      <c r="AP122" s="89">
        <v>2489.3883825335652</v>
      </c>
      <c r="AQ122" s="527"/>
      <c r="AR122" s="529">
        <v>-4.5833333333333144</v>
      </c>
      <c r="AS122" s="529">
        <v>1</v>
      </c>
      <c r="AT122" s="529">
        <v>-5.5833333333333144</v>
      </c>
      <c r="AU122" s="15"/>
      <c r="AV122" s="15"/>
      <c r="AW122" s="15"/>
      <c r="AX122" s="15"/>
      <c r="AY122" s="15"/>
      <c r="AZ122" s="15"/>
      <c r="BA122" s="15"/>
      <c r="BB122" s="15"/>
      <c r="BC122" s="15"/>
      <c r="BD122" s="15"/>
    </row>
    <row r="123" spans="1:56" ht="13" x14ac:dyDescent="0.3">
      <c r="A123" s="74">
        <v>9257016</v>
      </c>
      <c r="B123" s="67" t="s">
        <v>73</v>
      </c>
      <c r="C123" s="68">
        <v>6</v>
      </c>
      <c r="D123" s="75">
        <v>628418.54811585671</v>
      </c>
      <c r="E123" s="75">
        <v>938438.36518634588</v>
      </c>
      <c r="F123" s="22">
        <v>1566856.9133022027</v>
      </c>
      <c r="G123" s="75">
        <v>282489.09972446121</v>
      </c>
      <c r="H123" s="75">
        <v>517098.69102104765</v>
      </c>
      <c r="I123" s="22">
        <v>799587.79074550886</v>
      </c>
      <c r="J123" s="22">
        <v>2366444.7040477116</v>
      </c>
      <c r="K123" s="75">
        <v>0</v>
      </c>
      <c r="L123" s="75">
        <v>0</v>
      </c>
      <c r="M123" s="22">
        <v>0</v>
      </c>
      <c r="N123" s="75">
        <v>0</v>
      </c>
      <c r="O123" s="75">
        <v>0</v>
      </c>
      <c r="P123" s="22">
        <v>0</v>
      </c>
      <c r="Q123" s="22">
        <v>0</v>
      </c>
      <c r="R123" s="22">
        <v>2366444.7040477116</v>
      </c>
      <c r="S123" s="98">
        <v>164.75</v>
      </c>
      <c r="T123" s="75">
        <v>14363.852528362437</v>
      </c>
      <c r="U123" s="67"/>
      <c r="V123" s="75">
        <v>1090833.3333333335</v>
      </c>
      <c r="W123" s="75">
        <v>556666.66666666663</v>
      </c>
      <c r="X123" s="75">
        <v>1647500</v>
      </c>
      <c r="Y123" s="75">
        <v>3135141.8040477117</v>
      </c>
      <c r="Z123" s="75"/>
      <c r="AA123" s="75"/>
      <c r="AB123" s="75">
        <v>1487641.8040477117</v>
      </c>
      <c r="AC123" s="75">
        <v>395049.03749370179</v>
      </c>
      <c r="AD123" s="75">
        <v>589939.89599059464</v>
      </c>
      <c r="AE123" s="75">
        <v>984988.93348429643</v>
      </c>
      <c r="AF123" s="75">
        <v>177583.9482828831</v>
      </c>
      <c r="AG123" s="75">
        <v>325068.92228053173</v>
      </c>
      <c r="AH123" s="75">
        <v>502652.87056341482</v>
      </c>
      <c r="AI123" s="75">
        <v>1487641.8040477112</v>
      </c>
      <c r="AJ123" s="99"/>
      <c r="AK123" s="528">
        <v>3135141.8040477112</v>
      </c>
      <c r="AL123" s="76" t="s">
        <v>61</v>
      </c>
      <c r="AM123" s="105"/>
      <c r="AN123" s="65">
        <v>838210.12849815481</v>
      </c>
      <c r="AO123" s="89">
        <v>794222.80929219606</v>
      </c>
      <c r="AP123" s="89">
        <v>43987.319205958745</v>
      </c>
      <c r="AQ123" s="527"/>
      <c r="AR123" s="529">
        <v>11.916666666666657</v>
      </c>
      <c r="AS123" s="529">
        <v>-1</v>
      </c>
      <c r="AT123" s="529">
        <v>12.916666666666657</v>
      </c>
      <c r="AU123" s="15"/>
      <c r="AV123" s="15"/>
      <c r="AW123" s="15"/>
      <c r="AX123" s="15"/>
      <c r="AY123" s="15"/>
      <c r="AZ123" s="15"/>
      <c r="BA123" s="15"/>
      <c r="BB123" s="15"/>
      <c r="BC123" s="15"/>
      <c r="BD123" s="15"/>
    </row>
    <row r="124" spans="1:56" x14ac:dyDescent="0.25">
      <c r="A124" s="15"/>
      <c r="B124" s="15"/>
      <c r="C124" s="15"/>
      <c r="D124" s="15"/>
      <c r="E124" s="15"/>
      <c r="F124" s="64"/>
      <c r="G124" s="64"/>
      <c r="H124" s="15"/>
      <c r="I124" s="15"/>
      <c r="J124" s="15"/>
      <c r="K124" s="15"/>
      <c r="L124" s="15"/>
      <c r="M124" s="15"/>
      <c r="N124" s="15"/>
      <c r="O124" s="15"/>
      <c r="P124" s="15"/>
      <c r="Q124" s="15"/>
      <c r="R124" s="64"/>
      <c r="S124" s="100"/>
      <c r="T124" s="15"/>
      <c r="U124" s="15"/>
      <c r="V124" s="15"/>
      <c r="W124" s="15"/>
      <c r="X124" s="15"/>
      <c r="Y124" s="15"/>
      <c r="Z124" s="15"/>
      <c r="AA124" s="15"/>
      <c r="AB124" s="15"/>
      <c r="AC124" s="15"/>
      <c r="AD124" s="15"/>
      <c r="AE124" s="15"/>
      <c r="AF124" s="15"/>
      <c r="AG124" s="15"/>
      <c r="AH124" s="15"/>
      <c r="AI124" s="15"/>
      <c r="AJ124" s="15"/>
      <c r="AK124" s="15"/>
      <c r="AL124" s="15"/>
      <c r="AM124" s="15"/>
      <c r="AN124" s="64"/>
      <c r="AO124" s="89"/>
      <c r="AP124" s="527"/>
      <c r="AQ124" s="527"/>
      <c r="AR124" s="527"/>
      <c r="AS124" s="527"/>
      <c r="AT124" s="527"/>
      <c r="AU124" s="15"/>
      <c r="AV124" s="15"/>
      <c r="AW124" s="15"/>
      <c r="AX124" s="15"/>
      <c r="AY124" s="15"/>
      <c r="AZ124" s="15"/>
      <c r="BA124" s="15"/>
      <c r="BB124" s="15"/>
      <c r="BC124" s="15"/>
      <c r="BD124" s="15"/>
    </row>
    <row r="125" spans="1:56" ht="13" thickBot="1" x14ac:dyDescent="0.3">
      <c r="A125" s="15"/>
      <c r="B125" s="15"/>
      <c r="C125" s="15"/>
      <c r="D125" s="79" t="e">
        <v>#REF!</v>
      </c>
      <c r="E125" s="79" t="e">
        <v>#REF!</v>
      </c>
      <c r="F125" s="79" t="e">
        <v>#REF!</v>
      </c>
      <c r="G125" s="79" t="e">
        <v>#REF!</v>
      </c>
      <c r="H125" s="79" t="e">
        <v>#REF!</v>
      </c>
      <c r="I125" s="79" t="e">
        <v>#REF!</v>
      </c>
      <c r="J125" s="79" t="e">
        <v>#REF!</v>
      </c>
      <c r="K125" s="79" t="e">
        <v>#REF!</v>
      </c>
      <c r="L125" s="79" t="e">
        <v>#REF!</v>
      </c>
      <c r="M125" s="79" t="e">
        <v>#REF!</v>
      </c>
      <c r="N125" s="79" t="e">
        <v>#REF!</v>
      </c>
      <c r="O125" s="79" t="e">
        <v>#REF!</v>
      </c>
      <c r="P125" s="79" t="e">
        <v>#REF!</v>
      </c>
      <c r="Q125" s="79" t="e">
        <v>#REF!</v>
      </c>
      <c r="R125" s="79" t="e">
        <v>#REF!</v>
      </c>
      <c r="S125" s="530" t="e">
        <v>#REF!</v>
      </c>
      <c r="T125" s="79" t="e">
        <v>#REF!</v>
      </c>
      <c r="U125" s="15"/>
      <c r="V125" s="531" t="e">
        <v>#REF!</v>
      </c>
      <c r="W125" s="531" t="e">
        <v>#REF!</v>
      </c>
      <c r="X125" s="532" t="e">
        <v>#REF!</v>
      </c>
      <c r="Y125" s="532" t="e">
        <v>#N/A</v>
      </c>
      <c r="Z125" s="532">
        <v>0</v>
      </c>
      <c r="AA125" s="532">
        <v>0</v>
      </c>
      <c r="AB125" s="532" t="e">
        <v>#N/A</v>
      </c>
      <c r="AC125" s="532" t="e">
        <v>#REF!</v>
      </c>
      <c r="AD125" s="532" t="e">
        <v>#REF!</v>
      </c>
      <c r="AE125" s="532" t="e">
        <v>#REF!</v>
      </c>
      <c r="AF125" s="532" t="e">
        <v>#REF!</v>
      </c>
      <c r="AG125" s="532" t="e">
        <v>#REF!</v>
      </c>
      <c r="AH125" s="532" t="e">
        <v>#REF!</v>
      </c>
      <c r="AI125" s="532" t="e">
        <v>#REF!</v>
      </c>
      <c r="AJ125" s="533"/>
      <c r="AK125" s="532" t="e">
        <v>#REF!</v>
      </c>
      <c r="AL125" s="104" t="s">
        <v>61</v>
      </c>
      <c r="AM125" s="15"/>
      <c r="AN125" s="65" t="e">
        <v>#REF!</v>
      </c>
      <c r="AO125" s="89">
        <v>1866352.7961942179</v>
      </c>
      <c r="AP125" s="89" t="e">
        <v>#REF!</v>
      </c>
      <c r="AQ125" s="527"/>
      <c r="AR125" s="527"/>
      <c r="AS125" s="527"/>
      <c r="AT125" s="527"/>
      <c r="AU125" s="15"/>
      <c r="AV125" s="15"/>
      <c r="AW125" s="15"/>
      <c r="AX125" s="15"/>
      <c r="AY125" s="15"/>
      <c r="AZ125" s="15"/>
      <c r="BA125" s="15"/>
      <c r="BB125" s="15"/>
      <c r="BC125" s="15"/>
      <c r="BD125" s="15"/>
    </row>
    <row r="126" spans="1:56" x14ac:dyDescent="0.25">
      <c r="A126" s="15"/>
      <c r="B126" s="15"/>
      <c r="C126" s="15"/>
      <c r="D126" s="15"/>
      <c r="E126" s="15"/>
      <c r="F126" s="64"/>
      <c r="G126" s="64"/>
      <c r="H126" s="15"/>
      <c r="I126" s="15"/>
      <c r="J126" s="15"/>
      <c r="K126" s="15"/>
      <c r="L126" s="15"/>
      <c r="M126" s="15"/>
      <c r="N126" s="15"/>
      <c r="O126" s="15"/>
      <c r="P126" s="15"/>
      <c r="Q126" s="15"/>
      <c r="R126" s="64"/>
      <c r="S126" s="100"/>
      <c r="T126" s="15"/>
      <c r="U126" s="15"/>
      <c r="V126" s="15"/>
      <c r="W126" s="15"/>
      <c r="X126" s="15"/>
      <c r="Y126" s="15"/>
      <c r="Z126" s="15"/>
      <c r="AA126" s="15"/>
      <c r="AB126" s="15"/>
      <c r="AC126" s="15"/>
      <c r="AD126" s="15"/>
      <c r="AE126" s="15"/>
      <c r="AF126" s="15"/>
      <c r="AG126" s="15"/>
      <c r="AH126" s="15"/>
      <c r="AI126" s="15"/>
      <c r="AJ126" s="15"/>
      <c r="AK126" s="15"/>
      <c r="AL126" s="15"/>
      <c r="AM126" s="15"/>
      <c r="AN126" s="15"/>
      <c r="AO126" s="527"/>
      <c r="AP126" s="527"/>
      <c r="AQ126" s="527"/>
      <c r="AR126" s="527"/>
      <c r="AS126" s="527"/>
      <c r="AT126" s="527"/>
      <c r="AU126" s="15"/>
      <c r="AV126" s="15"/>
      <c r="AW126" s="15"/>
      <c r="AX126" s="64"/>
      <c r="AY126" s="64"/>
      <c r="AZ126" s="15"/>
      <c r="BA126" s="15"/>
      <c r="BB126" s="64"/>
      <c r="BC126" s="64"/>
      <c r="BD126" s="64"/>
    </row>
    <row r="127" spans="1:56" x14ac:dyDescent="0.25">
      <c r="A127" s="15"/>
      <c r="B127" s="15"/>
      <c r="C127" s="15"/>
      <c r="D127" s="131" t="s">
        <v>61</v>
      </c>
      <c r="E127" s="131" t="s">
        <v>61</v>
      </c>
      <c r="F127" s="131" t="s">
        <v>61</v>
      </c>
      <c r="G127" s="131" t="s">
        <v>61</v>
      </c>
      <c r="H127" s="131" t="s">
        <v>61</v>
      </c>
      <c r="I127" s="131" t="s">
        <v>61</v>
      </c>
      <c r="J127" s="131" t="s">
        <v>61</v>
      </c>
      <c r="K127" s="131" t="s">
        <v>61</v>
      </c>
      <c r="L127" s="131" t="s">
        <v>61</v>
      </c>
      <c r="M127" s="131" t="s">
        <v>61</v>
      </c>
      <c r="N127" s="131" t="s">
        <v>61</v>
      </c>
      <c r="O127" s="131" t="s">
        <v>61</v>
      </c>
      <c r="P127" s="131" t="s">
        <v>61</v>
      </c>
      <c r="Q127" s="131" t="s">
        <v>61</v>
      </c>
      <c r="R127" s="131" t="s">
        <v>61</v>
      </c>
      <c r="S127" s="63"/>
      <c r="T127" s="106"/>
      <c r="U127" s="15"/>
      <c r="V127" s="106"/>
      <c r="W127" s="106"/>
      <c r="X127" s="106"/>
      <c r="Y127" s="106"/>
      <c r="Z127" s="106"/>
      <c r="AA127" s="106"/>
      <c r="AB127" s="106"/>
      <c r="AC127" s="106"/>
      <c r="AD127" s="106"/>
      <c r="AE127" s="106"/>
      <c r="AF127" s="106"/>
      <c r="AG127" s="106"/>
      <c r="AH127" s="106"/>
      <c r="AI127" s="106"/>
      <c r="AJ127" s="106"/>
      <c r="AK127" s="106"/>
      <c r="AL127" s="15"/>
      <c r="AM127" s="15"/>
      <c r="AN127" s="15"/>
      <c r="AO127" s="15"/>
      <c r="AP127" s="104"/>
      <c r="AQ127" s="15"/>
      <c r="AR127" s="15"/>
      <c r="AS127" s="15"/>
      <c r="AT127" s="15"/>
      <c r="AU127" s="15"/>
      <c r="AV127" s="15"/>
      <c r="AW127" s="15"/>
      <c r="AX127" s="64"/>
      <c r="AY127" s="64"/>
      <c r="AZ127" s="15"/>
      <c r="BA127" s="15"/>
      <c r="BB127" s="64"/>
      <c r="BC127" s="64"/>
      <c r="BD127" s="64"/>
    </row>
    <row r="129" spans="3:56" x14ac:dyDescent="0.25">
      <c r="C129" s="15"/>
      <c r="D129" s="15"/>
      <c r="E129" s="15"/>
      <c r="F129" s="15"/>
      <c r="G129" s="15"/>
      <c r="H129" s="15"/>
      <c r="I129" s="64"/>
      <c r="J129" s="64"/>
      <c r="K129" s="15"/>
      <c r="L129" s="15"/>
      <c r="M129" s="15"/>
      <c r="N129" s="15"/>
      <c r="O129" s="15"/>
      <c r="P129" s="15"/>
      <c r="Q129" s="15"/>
      <c r="R129" s="64"/>
      <c r="S129" s="100"/>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64"/>
      <c r="AY129" s="64"/>
      <c r="AZ129" s="15"/>
      <c r="BA129" s="15"/>
      <c r="BB129" s="64"/>
      <c r="BC129" s="64"/>
      <c r="BD129" s="64"/>
    </row>
    <row r="130" spans="3:56" x14ac:dyDescent="0.25">
      <c r="C130" s="15"/>
      <c r="D130" s="15"/>
      <c r="E130" s="15"/>
      <c r="F130" s="15"/>
      <c r="G130" s="15"/>
      <c r="H130" s="15"/>
      <c r="I130" s="64"/>
      <c r="J130" s="64"/>
      <c r="K130" s="15"/>
      <c r="L130" s="15"/>
      <c r="M130" s="15"/>
      <c r="N130" s="15"/>
      <c r="O130" s="15"/>
      <c r="P130" s="15"/>
      <c r="Q130" s="15"/>
      <c r="R130" s="64" t="s">
        <v>732</v>
      </c>
      <c r="S130" s="88" t="s">
        <v>733</v>
      </c>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64"/>
      <c r="AY130" s="64"/>
      <c r="AZ130" s="15"/>
      <c r="BA130" s="15"/>
      <c r="BB130" s="64"/>
      <c r="BC130" s="64"/>
      <c r="BD130" s="64"/>
    </row>
    <row r="131" spans="3:56" ht="13" x14ac:dyDescent="0.3">
      <c r="C131" s="15"/>
      <c r="D131" s="15"/>
      <c r="E131" s="15"/>
      <c r="F131" s="15"/>
      <c r="G131" s="15"/>
      <c r="H131" s="15"/>
      <c r="I131" s="64"/>
      <c r="J131" s="64"/>
      <c r="K131" s="15"/>
      <c r="L131" s="15"/>
      <c r="M131" s="15"/>
      <c r="N131" s="15"/>
      <c r="O131" s="67" t="s">
        <v>60</v>
      </c>
      <c r="P131" s="15"/>
      <c r="Q131" s="15"/>
      <c r="R131" s="600">
        <v>1450702.9222110419</v>
      </c>
      <c r="S131" s="601">
        <v>1635422.2145255746</v>
      </c>
      <c r="T131" s="602">
        <v>-184719.29231453268</v>
      </c>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64"/>
      <c r="AY131" s="64"/>
      <c r="AZ131" s="15"/>
      <c r="BA131" s="15"/>
      <c r="BB131" s="64"/>
      <c r="BC131" s="64"/>
      <c r="BD131" s="64"/>
    </row>
    <row r="132" spans="3:56" ht="13" x14ac:dyDescent="0.3">
      <c r="C132" s="15"/>
      <c r="D132" s="15"/>
      <c r="E132" s="15"/>
      <c r="F132" s="15"/>
      <c r="G132" s="15"/>
      <c r="H132" s="15"/>
      <c r="I132" s="64"/>
      <c r="J132" s="64"/>
      <c r="K132" s="15"/>
      <c r="L132" s="15"/>
      <c r="M132" s="15"/>
      <c r="N132" s="15"/>
      <c r="O132" s="67" t="s">
        <v>63</v>
      </c>
      <c r="P132" s="15"/>
      <c r="Q132" s="15"/>
      <c r="R132" s="600">
        <v>1111087.4538852279</v>
      </c>
      <c r="S132" s="601">
        <v>1110307.5958656566</v>
      </c>
      <c r="T132" s="602">
        <v>779.85801957128569</v>
      </c>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64"/>
      <c r="AY132" s="64"/>
      <c r="AZ132" s="15"/>
      <c r="BA132" s="15"/>
      <c r="BB132" s="64"/>
      <c r="BC132" s="64"/>
      <c r="BD132" s="64"/>
    </row>
    <row r="133" spans="3:56" ht="13" x14ac:dyDescent="0.3">
      <c r="C133" s="15"/>
      <c r="D133" s="15"/>
      <c r="E133" s="15"/>
      <c r="F133" s="15"/>
      <c r="G133" s="15"/>
      <c r="H133" s="15"/>
      <c r="I133" s="64"/>
      <c r="J133" s="64"/>
      <c r="K133" s="15"/>
      <c r="L133" s="15"/>
      <c r="M133" s="15"/>
      <c r="N133" s="15"/>
      <c r="O133" s="67" t="s">
        <v>64</v>
      </c>
      <c r="P133" s="15"/>
      <c r="Q133" s="15"/>
      <c r="R133" s="600">
        <v>938087.7152146895</v>
      </c>
      <c r="S133" s="601">
        <v>968642.14997835143</v>
      </c>
      <c r="T133" s="602">
        <v>-30554.434763661935</v>
      </c>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64"/>
      <c r="AY133" s="64"/>
      <c r="AZ133" s="15"/>
      <c r="BA133" s="15"/>
      <c r="BB133" s="64"/>
      <c r="BC133" s="64"/>
      <c r="BD133" s="64"/>
    </row>
    <row r="134" spans="3:56" ht="13" x14ac:dyDescent="0.3">
      <c r="C134" s="15"/>
      <c r="D134" s="15"/>
      <c r="E134" s="15"/>
      <c r="F134" s="15"/>
      <c r="G134" s="15"/>
      <c r="H134" s="15"/>
      <c r="I134" s="64"/>
      <c r="J134" s="64"/>
      <c r="K134" s="15"/>
      <c r="L134" s="15"/>
      <c r="M134" s="15"/>
      <c r="N134" s="15"/>
      <c r="O134" s="67" t="s">
        <v>65</v>
      </c>
      <c r="P134" s="15"/>
      <c r="Q134" s="15"/>
      <c r="R134" s="600">
        <v>803973.59114669659</v>
      </c>
      <c r="S134" s="601">
        <v>809291.27659107023</v>
      </c>
      <c r="T134" s="602">
        <v>-5317.6854443736374</v>
      </c>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64"/>
      <c r="AY134" s="64"/>
      <c r="AZ134" s="15"/>
      <c r="BA134" s="15"/>
      <c r="BB134" s="64"/>
      <c r="BC134" s="64"/>
      <c r="BD134" s="64"/>
    </row>
    <row r="135" spans="3:56" ht="13" x14ac:dyDescent="0.3">
      <c r="C135" s="15"/>
      <c r="D135" s="15"/>
      <c r="E135" s="15"/>
      <c r="F135" s="15"/>
      <c r="G135" s="15"/>
      <c r="H135" s="15"/>
      <c r="I135" s="64"/>
      <c r="J135" s="64"/>
      <c r="K135" s="15"/>
      <c r="L135" s="15"/>
      <c r="M135" s="15"/>
      <c r="N135" s="15"/>
      <c r="O135" s="67" t="s">
        <v>66</v>
      </c>
      <c r="P135" s="15"/>
      <c r="Q135" s="15"/>
      <c r="R135" s="600">
        <v>981968.02846039541</v>
      </c>
      <c r="S135" s="601">
        <v>1043499.875183222</v>
      </c>
      <c r="T135" s="602">
        <v>-61531.846722826594</v>
      </c>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64"/>
      <c r="AY135" s="64"/>
      <c r="AZ135" s="15"/>
      <c r="BA135" s="15"/>
      <c r="BB135" s="64"/>
      <c r="BC135" s="64"/>
      <c r="BD135" s="64"/>
    </row>
    <row r="136" spans="3:56" ht="13" x14ac:dyDescent="0.3">
      <c r="C136" s="15"/>
      <c r="D136" s="15"/>
      <c r="E136" s="15"/>
      <c r="F136" s="15"/>
      <c r="G136" s="15"/>
      <c r="H136" s="15"/>
      <c r="I136" s="64"/>
      <c r="J136" s="64"/>
      <c r="K136" s="15"/>
      <c r="L136" s="15"/>
      <c r="M136" s="15"/>
      <c r="N136" s="15"/>
      <c r="O136" s="67" t="s">
        <v>84</v>
      </c>
      <c r="P136" s="15"/>
      <c r="Q136" s="15"/>
      <c r="R136" s="600">
        <v>1215325.5284515372</v>
      </c>
      <c r="S136" s="601">
        <v>1215325.5284515372</v>
      </c>
      <c r="T136" s="602">
        <v>0</v>
      </c>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64"/>
      <c r="AY136" s="64"/>
      <c r="AZ136" s="15"/>
      <c r="BA136" s="15"/>
      <c r="BB136" s="64"/>
      <c r="BC136" s="64"/>
      <c r="BD136" s="64"/>
    </row>
    <row r="137" spans="3:56" ht="13" x14ac:dyDescent="0.3">
      <c r="C137" s="15"/>
      <c r="D137" s="15"/>
      <c r="E137" s="15"/>
      <c r="F137" s="15"/>
      <c r="G137" s="15"/>
      <c r="H137" s="15"/>
      <c r="I137" s="64"/>
      <c r="J137" s="64"/>
      <c r="K137" s="15"/>
      <c r="L137" s="15"/>
      <c r="M137" s="15"/>
      <c r="N137" s="15"/>
      <c r="O137" s="67" t="s">
        <v>74</v>
      </c>
      <c r="P137" s="15"/>
      <c r="Q137" s="15"/>
      <c r="R137" s="600">
        <v>997252.27983884769</v>
      </c>
      <c r="S137" s="601">
        <v>1037445.9249206006</v>
      </c>
      <c r="T137" s="602">
        <v>-40193.645081752911</v>
      </c>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64"/>
      <c r="AY137" s="64"/>
      <c r="AZ137" s="15"/>
      <c r="BA137" s="15"/>
      <c r="BB137" s="64"/>
      <c r="BC137" s="64"/>
      <c r="BD137" s="64"/>
    </row>
    <row r="138" spans="3:56" ht="13" x14ac:dyDescent="0.3">
      <c r="C138" s="15"/>
      <c r="D138" s="15"/>
      <c r="E138" s="15"/>
      <c r="F138" s="15"/>
      <c r="G138" s="15"/>
      <c r="H138" s="15"/>
      <c r="I138" s="64"/>
      <c r="J138" s="64"/>
      <c r="K138" s="15"/>
      <c r="L138" s="15"/>
      <c r="M138" s="15"/>
      <c r="N138" s="15"/>
      <c r="O138" s="67" t="s">
        <v>67</v>
      </c>
      <c r="P138" s="15"/>
      <c r="Q138" s="15"/>
      <c r="R138" s="600">
        <v>956233.34251339128</v>
      </c>
      <c r="S138" s="601">
        <v>1017880.0443109286</v>
      </c>
      <c r="T138" s="602">
        <v>-61646.701797537273</v>
      </c>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64"/>
      <c r="AY138" s="64"/>
      <c r="AZ138" s="15"/>
      <c r="BA138" s="15"/>
      <c r="BB138" s="64"/>
      <c r="BC138" s="64"/>
      <c r="BD138" s="64"/>
    </row>
    <row r="139" spans="3:56" ht="13" x14ac:dyDescent="0.3">
      <c r="C139" s="15"/>
      <c r="D139" s="15"/>
      <c r="E139" s="15"/>
      <c r="F139" s="15"/>
      <c r="G139" s="15"/>
      <c r="H139" s="15"/>
      <c r="I139" s="64"/>
      <c r="J139" s="64"/>
      <c r="K139" s="15"/>
      <c r="L139" s="15"/>
      <c r="M139" s="15"/>
      <c r="N139" s="15"/>
      <c r="O139" s="67" t="s">
        <v>75</v>
      </c>
      <c r="P139" s="15"/>
      <c r="Q139" s="15"/>
      <c r="R139" s="600">
        <v>1102419.9694233148</v>
      </c>
      <c r="S139" s="601">
        <v>1153797.2462213296</v>
      </c>
      <c r="T139" s="602">
        <v>-51377.276798014762</v>
      </c>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64"/>
      <c r="AY139" s="64"/>
      <c r="AZ139" s="15"/>
      <c r="BA139" s="15"/>
      <c r="BB139" s="64"/>
      <c r="BC139" s="64"/>
      <c r="BD139" s="64"/>
    </row>
    <row r="140" spans="3:56" ht="13" x14ac:dyDescent="0.3">
      <c r="C140" s="15"/>
      <c r="D140" s="15"/>
      <c r="E140" s="15"/>
      <c r="F140" s="15"/>
      <c r="G140" s="15"/>
      <c r="H140" s="15"/>
      <c r="I140" s="64"/>
      <c r="J140" s="64"/>
      <c r="K140" s="15"/>
      <c r="L140" s="15"/>
      <c r="M140" s="15"/>
      <c r="N140" s="15"/>
      <c r="O140" s="67" t="s">
        <v>68</v>
      </c>
      <c r="P140" s="15"/>
      <c r="Q140" s="15"/>
      <c r="R140" s="600">
        <v>1484746.1499078074</v>
      </c>
      <c r="S140" s="601">
        <v>1458580.2296437109</v>
      </c>
      <c r="T140" s="602">
        <v>26165.920264096465</v>
      </c>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64"/>
      <c r="AY140" s="64"/>
      <c r="AZ140" s="15"/>
      <c r="BA140" s="15"/>
      <c r="BB140" s="64"/>
      <c r="BC140" s="64"/>
      <c r="BD140" s="64"/>
    </row>
    <row r="141" spans="3:56" ht="13" x14ac:dyDescent="0.3">
      <c r="C141" s="15"/>
      <c r="D141" s="15"/>
      <c r="E141" s="15"/>
      <c r="F141" s="15"/>
      <c r="G141" s="15"/>
      <c r="H141" s="15"/>
      <c r="I141" s="64"/>
      <c r="J141" s="64"/>
      <c r="K141" s="15"/>
      <c r="L141" s="15"/>
      <c r="M141" s="15"/>
      <c r="N141" s="15"/>
      <c r="O141" s="67" t="s">
        <v>69</v>
      </c>
      <c r="P141" s="15"/>
      <c r="Q141" s="15"/>
      <c r="R141" s="600">
        <v>1234626.8435036717</v>
      </c>
      <c r="S141" s="601">
        <v>1230417.7710770133</v>
      </c>
      <c r="T141" s="602">
        <v>4209.0724266583566</v>
      </c>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64"/>
      <c r="AY141" s="64"/>
      <c r="AZ141" s="15"/>
      <c r="BA141" s="15"/>
      <c r="BB141" s="64"/>
      <c r="BC141" s="64"/>
      <c r="BD141" s="64"/>
    </row>
    <row r="142" spans="3:56" ht="13" x14ac:dyDescent="0.3">
      <c r="C142" s="15"/>
      <c r="D142" s="15"/>
      <c r="E142" s="15"/>
      <c r="F142" s="15"/>
      <c r="G142" s="15"/>
      <c r="H142" s="15"/>
      <c r="I142" s="64"/>
      <c r="J142" s="64"/>
      <c r="K142" s="15"/>
      <c r="L142" s="15"/>
      <c r="M142" s="15"/>
      <c r="N142" s="15"/>
      <c r="O142" s="67" t="s">
        <v>278</v>
      </c>
      <c r="P142" s="15"/>
      <c r="Q142" s="15"/>
      <c r="R142" s="600">
        <v>1187618.6252122277</v>
      </c>
      <c r="S142" s="601">
        <v>1187618.6252122277</v>
      </c>
      <c r="T142" s="602">
        <v>0</v>
      </c>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64"/>
      <c r="AY142" s="64"/>
      <c r="AZ142" s="15"/>
      <c r="BA142" s="15"/>
      <c r="BB142" s="64"/>
      <c r="BC142" s="64"/>
      <c r="BD142" s="64"/>
    </row>
    <row r="143" spans="3:56" ht="13" x14ac:dyDescent="0.3">
      <c r="C143" s="15"/>
      <c r="D143" s="15"/>
      <c r="E143" s="15"/>
      <c r="F143" s="15"/>
      <c r="G143" s="15"/>
      <c r="H143" s="15"/>
      <c r="I143" s="64"/>
      <c r="J143" s="64"/>
      <c r="K143" s="15"/>
      <c r="L143" s="15"/>
      <c r="M143" s="15"/>
      <c r="N143" s="15"/>
      <c r="O143" s="67" t="s">
        <v>380</v>
      </c>
      <c r="P143" s="15"/>
      <c r="Q143" s="15"/>
      <c r="R143" s="600">
        <v>1571737.0564844753</v>
      </c>
      <c r="S143" s="601">
        <v>1571737.0564844753</v>
      </c>
      <c r="T143" s="602">
        <v>0</v>
      </c>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64"/>
      <c r="AY143" s="64"/>
      <c r="AZ143" s="15"/>
      <c r="BA143" s="15"/>
      <c r="BB143" s="64"/>
      <c r="BC143" s="64"/>
      <c r="BD143" s="64"/>
    </row>
    <row r="144" spans="3:56" ht="13" x14ac:dyDescent="0.3">
      <c r="C144" s="15"/>
      <c r="D144" s="15"/>
      <c r="E144" s="15"/>
      <c r="F144" s="15"/>
      <c r="G144" s="15"/>
      <c r="H144" s="15"/>
      <c r="I144" s="64"/>
      <c r="J144" s="64"/>
      <c r="K144" s="15"/>
      <c r="L144" s="15"/>
      <c r="M144" s="15"/>
      <c r="N144" s="15"/>
      <c r="O144" s="67" t="s">
        <v>383</v>
      </c>
      <c r="P144" s="15"/>
      <c r="Q144" s="15"/>
      <c r="R144" s="600">
        <v>1070493.9887915095</v>
      </c>
      <c r="S144" s="601">
        <v>1070493.9887915095</v>
      </c>
      <c r="T144" s="602">
        <v>0</v>
      </c>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64"/>
      <c r="AY144" s="64"/>
      <c r="AZ144" s="15"/>
      <c r="BA144" s="15"/>
      <c r="BB144" s="64"/>
      <c r="BC144" s="64"/>
      <c r="BD144" s="64"/>
    </row>
    <row r="145" spans="15:20" ht="13" x14ac:dyDescent="0.3">
      <c r="O145" s="67" t="s">
        <v>70</v>
      </c>
      <c r="P145" s="15"/>
      <c r="Q145" s="15"/>
      <c r="R145" s="600">
        <v>1590171.732654036</v>
      </c>
      <c r="S145" s="601">
        <v>1618611.5745486002</v>
      </c>
      <c r="T145" s="602">
        <v>-28439.841894564219</v>
      </c>
    </row>
    <row r="146" spans="15:20" ht="13" x14ac:dyDescent="0.3">
      <c r="O146" s="67" t="s">
        <v>71</v>
      </c>
      <c r="P146" s="15"/>
      <c r="Q146" s="15"/>
      <c r="R146" s="600">
        <v>1676380.6480545243</v>
      </c>
      <c r="S146" s="601">
        <v>1721195.0373406732</v>
      </c>
      <c r="T146" s="602">
        <v>-44814.389286148828</v>
      </c>
    </row>
    <row r="147" spans="15:20" ht="13" x14ac:dyDescent="0.3">
      <c r="O147" s="67" t="s">
        <v>72</v>
      </c>
      <c r="P147" s="15"/>
      <c r="Q147" s="15"/>
      <c r="R147" s="600">
        <v>2226865.9728884418</v>
      </c>
      <c r="S147" s="601">
        <v>2200327.8220654116</v>
      </c>
      <c r="T147" s="602">
        <v>26538.150823030155</v>
      </c>
    </row>
    <row r="148" spans="15:20" ht="13" x14ac:dyDescent="0.3">
      <c r="O148" s="67" t="s">
        <v>73</v>
      </c>
      <c r="P148" s="15"/>
      <c r="Q148" s="15"/>
      <c r="R148" s="600">
        <v>2366444.7040477116</v>
      </c>
      <c r="S148" s="601">
        <v>2365878.4006585167</v>
      </c>
      <c r="T148" s="602">
        <v>566.30338919488713</v>
      </c>
    </row>
    <row r="150" spans="15:20" x14ac:dyDescent="0.25">
      <c r="O150" s="15"/>
      <c r="P150" s="15"/>
      <c r="Q150" s="15"/>
      <c r="R150" s="64"/>
      <c r="S150" s="100"/>
      <c r="T150" s="65">
        <v>-450335.80918086169</v>
      </c>
    </row>
  </sheetData>
  <mergeCells count="9">
    <mergeCell ref="D104:F104"/>
    <mergeCell ref="G104:I104"/>
    <mergeCell ref="K104:M104"/>
    <mergeCell ref="N104:P104"/>
    <mergeCell ref="AK104:AK105"/>
    <mergeCell ref="O4:P4"/>
    <mergeCell ref="O25:P25"/>
    <mergeCell ref="O46:P46"/>
    <mergeCell ref="O67:P67"/>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8C5C-B871-474C-8DDB-2D26742ADCD4}">
  <sheetPr>
    <tabColor theme="8" tint="0.39997558519241921"/>
  </sheetPr>
  <dimension ref="A1:BD171"/>
  <sheetViews>
    <sheetView topLeftCell="A64" workbookViewId="0">
      <selection activeCell="K27" activeCellId="1" sqref="K6 K27"/>
    </sheetView>
  </sheetViews>
  <sheetFormatPr defaultColWidth="10.26953125" defaultRowHeight="12.5" x14ac:dyDescent="0.25"/>
  <cols>
    <col min="1" max="1" width="9.1796875" style="10" customWidth="1"/>
    <col min="2" max="2" width="26.7265625" style="10" customWidth="1"/>
    <col min="3" max="3" width="7.26953125" style="10" bestFit="1" customWidth="1"/>
    <col min="4" max="4" width="12.1796875" style="10" bestFit="1" customWidth="1"/>
    <col min="5" max="5" width="16.453125" style="10" customWidth="1"/>
    <col min="6" max="6" width="12.7265625" style="10" customWidth="1"/>
    <col min="7" max="7" width="14.54296875" style="10" customWidth="1"/>
    <col min="8" max="8" width="13.26953125" style="10" customWidth="1"/>
    <col min="9" max="9" width="13" style="11" customWidth="1"/>
    <col min="10" max="10" width="12.81640625" style="11" customWidth="1"/>
    <col min="11" max="11" width="12.26953125" style="10" customWidth="1"/>
    <col min="12" max="12" width="11.1796875" style="10" customWidth="1"/>
    <col min="13" max="13" width="13.26953125" style="10" customWidth="1"/>
    <col min="14" max="14" width="11.453125" style="10" customWidth="1"/>
    <col min="15" max="15" width="12.81640625" style="10" customWidth="1"/>
    <col min="16" max="16" width="12.453125" style="10" customWidth="1"/>
    <col min="17" max="17" width="12.453125" style="10" bestFit="1" customWidth="1"/>
    <col min="18" max="18" width="11.54296875" style="11" customWidth="1"/>
    <col min="19" max="19" width="12.453125" style="40" customWidth="1"/>
    <col min="20" max="20" width="12.26953125" style="10" customWidth="1"/>
    <col min="21" max="22" width="11.26953125" style="10" customWidth="1"/>
    <col min="23" max="23" width="10.26953125" style="10"/>
    <col min="24" max="24" width="11.1796875" style="10" bestFit="1" customWidth="1"/>
    <col min="25" max="27" width="11.1796875" style="10" customWidth="1"/>
    <col min="28" max="28" width="12.81640625" style="10" customWidth="1"/>
    <col min="29" max="29" width="11" style="10" customWidth="1"/>
    <col min="30" max="30" width="12.7265625" style="10" customWidth="1"/>
    <col min="31" max="31" width="13.1796875" style="10" customWidth="1"/>
    <col min="32" max="32" width="12.1796875" style="10" customWidth="1"/>
    <col min="33" max="33" width="11" style="10" customWidth="1"/>
    <col min="34" max="34" width="10.54296875" style="10" bestFit="1" customWidth="1"/>
    <col min="35" max="35" width="12.453125" style="10" customWidth="1"/>
    <col min="36" max="36" width="10.26953125" style="10"/>
    <col min="37" max="37" width="28.54296875" style="10" bestFit="1" customWidth="1"/>
    <col min="38" max="38" width="11.1796875" style="10" customWidth="1"/>
    <col min="39" max="39" width="1.26953125" style="10" customWidth="1"/>
    <col min="40" max="40" width="10" style="10" customWidth="1"/>
    <col min="41" max="41" width="11.453125" style="10" customWidth="1"/>
    <col min="42" max="42" width="10.54296875" style="10" bestFit="1" customWidth="1"/>
    <col min="43" max="43" width="10.26953125" style="10"/>
    <col min="44" max="44" width="15" style="10" customWidth="1"/>
    <col min="45" max="45" width="14.1796875" style="10" customWidth="1"/>
    <col min="46" max="49" width="10.26953125" style="10"/>
    <col min="50" max="50" width="14.7265625" style="11" customWidth="1"/>
    <col min="51" max="51" width="13.26953125" style="11" customWidth="1"/>
    <col min="52" max="53" width="10.26953125" style="10"/>
    <col min="54" max="54" width="19" style="11" bestFit="1" customWidth="1"/>
    <col min="55" max="55" width="16.81640625" style="11" customWidth="1"/>
    <col min="56" max="56" width="10.26953125" style="11"/>
    <col min="57" max="16384" width="10.26953125" style="10"/>
  </cols>
  <sheetData>
    <row r="1" spans="1:56" x14ac:dyDescent="0.25">
      <c r="A1" s="35" t="s">
        <v>76</v>
      </c>
      <c r="B1" s="15"/>
      <c r="C1" s="15"/>
      <c r="D1" s="15"/>
      <c r="E1" s="15"/>
      <c r="F1" s="15"/>
      <c r="G1" s="15"/>
      <c r="H1" s="15"/>
      <c r="I1" s="64"/>
      <c r="J1" s="64"/>
      <c r="K1" s="15"/>
      <c r="L1" s="15"/>
      <c r="M1" s="15"/>
      <c r="N1" s="15"/>
      <c r="O1" s="15"/>
      <c r="P1" s="15"/>
      <c r="Q1" s="15"/>
      <c r="R1" s="64"/>
      <c r="S1" s="522"/>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row>
    <row r="2" spans="1:56" ht="13" x14ac:dyDescent="0.3">
      <c r="A2" s="35"/>
      <c r="B2" s="15"/>
      <c r="C2" s="15"/>
      <c r="D2" s="15"/>
      <c r="E2" s="39" t="s">
        <v>734</v>
      </c>
      <c r="F2" s="15"/>
      <c r="G2" s="15"/>
      <c r="H2" s="15"/>
      <c r="I2" s="64"/>
      <c r="J2" s="64"/>
      <c r="K2" s="15"/>
      <c r="L2" s="15"/>
      <c r="M2" s="15"/>
      <c r="N2" s="15"/>
      <c r="O2" s="15"/>
      <c r="P2" s="15"/>
      <c r="Q2" s="15"/>
      <c r="R2" s="64"/>
      <c r="S2" s="522"/>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row>
    <row r="3" spans="1:56" ht="13" x14ac:dyDescent="0.3">
      <c r="A3" s="34" t="s">
        <v>735</v>
      </c>
      <c r="B3" s="15"/>
      <c r="C3" s="15"/>
      <c r="D3" s="15"/>
      <c r="E3" s="15"/>
      <c r="F3" s="15"/>
      <c r="G3" s="15"/>
      <c r="H3" s="15"/>
      <c r="I3" s="64"/>
      <c r="J3" s="64"/>
      <c r="K3" s="35" t="s">
        <v>729</v>
      </c>
      <c r="L3" s="15"/>
      <c r="M3" s="15"/>
      <c r="N3" s="15"/>
      <c r="O3" s="15"/>
      <c r="P3" s="15"/>
      <c r="Q3" s="15"/>
      <c r="R3" s="64"/>
      <c r="S3" s="522"/>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row>
    <row r="4" spans="1:56" x14ac:dyDescent="0.25">
      <c r="A4" s="15"/>
      <c r="B4" s="84"/>
      <c r="C4" s="84"/>
      <c r="D4" s="15"/>
      <c r="E4" s="15"/>
      <c r="F4" s="15"/>
      <c r="G4" s="15"/>
      <c r="H4" s="15"/>
      <c r="I4" s="64"/>
      <c r="J4" s="64"/>
      <c r="K4" s="15"/>
      <c r="L4" s="15"/>
      <c r="M4" s="15"/>
      <c r="N4" s="15"/>
      <c r="O4" s="1108" t="s">
        <v>77</v>
      </c>
      <c r="P4" s="1109"/>
      <c r="Q4" s="15"/>
      <c r="R4" s="636"/>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row>
    <row r="5" spans="1:56" ht="37.5" x14ac:dyDescent="0.25">
      <c r="A5" s="85" t="s">
        <v>48</v>
      </c>
      <c r="B5" s="67" t="s">
        <v>49</v>
      </c>
      <c r="C5" s="68" t="s">
        <v>50</v>
      </c>
      <c r="D5" s="64" t="s">
        <v>280</v>
      </c>
      <c r="E5" s="64" t="s">
        <v>281</v>
      </c>
      <c r="F5" s="64" t="s">
        <v>282</v>
      </c>
      <c r="G5" s="64" t="s">
        <v>283</v>
      </c>
      <c r="H5" s="64" t="s">
        <v>284</v>
      </c>
      <c r="I5" s="64" t="s">
        <v>285</v>
      </c>
      <c r="J5" s="64" t="s">
        <v>286</v>
      </c>
      <c r="K5" s="73" t="s">
        <v>78</v>
      </c>
      <c r="L5" s="73" t="s">
        <v>79</v>
      </c>
      <c r="M5" s="73" t="s">
        <v>80</v>
      </c>
      <c r="N5" s="73" t="s">
        <v>81</v>
      </c>
      <c r="O5" s="86" t="s">
        <v>82</v>
      </c>
      <c r="P5" s="110" t="s">
        <v>83</v>
      </c>
      <c r="Q5" s="15"/>
      <c r="R5" s="91" t="s">
        <v>287</v>
      </c>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row>
    <row r="6" spans="1:56" x14ac:dyDescent="0.25">
      <c r="A6" s="74">
        <v>9257010</v>
      </c>
      <c r="B6" s="67" t="s">
        <v>439</v>
      </c>
      <c r="C6" s="121">
        <v>5</v>
      </c>
      <c r="D6" s="523">
        <f>VLOOKUP(A6,'2324 Band Moderations'!$B$5:$S$21,6,(FALSE))</f>
        <v>0.10738255033557047</v>
      </c>
      <c r="E6" s="523">
        <f>VLOOKUP(A6,'2324 Band Moderations'!$B$5:$S$21,8,(FALSE))</f>
        <v>0.44966442953020136</v>
      </c>
      <c r="F6" s="523">
        <f>VLOOKUP(A6,'2324 Band Moderations'!$B$5:$S$21,10,(FALSE))</f>
        <v>6.0402684563758392E-2</v>
      </c>
      <c r="G6" s="523">
        <f>VLOOKUP(A6,'2324 Band Moderations'!$B$5:$S$21,12,(FALSE))</f>
        <v>0.16107382550335569</v>
      </c>
      <c r="H6" s="523">
        <f>VLOOKUP(A6,'2324 Band Moderations'!$B$5:$S$21,14,(FALSE))</f>
        <v>7.3825503355704702E-2</v>
      </c>
      <c r="I6" s="523">
        <f>VLOOKUP(A6,'2324 Band Moderations'!$B$5:$S$21,16,(FALSE))</f>
        <v>6.7114093959731544E-2</v>
      </c>
      <c r="J6" s="523">
        <f>VLOOKUP(A6,'2324 Band Moderations'!$B$5:$S$21,18,(FALSE))</f>
        <v>8.0536912751677847E-2</v>
      </c>
      <c r="K6" s="162">
        <v>114</v>
      </c>
      <c r="L6" s="524">
        <f t="shared" ref="L6:L22" si="0">((((K6*D6)*$G$88)+((K6*E6)*$G$90)+((K6*F6)*$G$92)+((K6*G6)*$G$94)+((K6*H6)*$G$96)+((K6*I6)*$G$98)+((K6*J6)*$G$100))*(5/12))</f>
        <v>572025.28523489938</v>
      </c>
      <c r="M6" s="524">
        <v>0</v>
      </c>
      <c r="N6" s="524">
        <f>SUM(L6:M6)</f>
        <v>572025.28523489938</v>
      </c>
      <c r="O6" s="525">
        <f>(K6*(5/12))*10000</f>
        <v>475000</v>
      </c>
      <c r="P6" s="525">
        <f>(VLOOKUP(A6,'2324 Funding Detail'!$A$4:$AA$20,25,FALSE)*5/12)*K6</f>
        <v>330860.91302950907</v>
      </c>
      <c r="Q6" s="65"/>
      <c r="R6" s="65">
        <f>(J6*K6*$G$100)*5/12</f>
        <v>93365.234899328862</v>
      </c>
      <c r="S6" s="88"/>
      <c r="T6" s="619"/>
      <c r="U6" s="619"/>
      <c r="V6" s="610"/>
      <c r="W6" s="610"/>
      <c r="X6" s="610"/>
      <c r="Y6" s="610"/>
      <c r="Z6" s="610"/>
      <c r="AA6" s="610"/>
      <c r="AB6" s="610"/>
      <c r="AC6" s="610"/>
      <c r="AD6" s="610"/>
      <c r="AE6" s="610"/>
      <c r="AF6" s="610"/>
      <c r="AG6" s="610"/>
      <c r="AH6" s="610"/>
      <c r="AI6" s="610"/>
      <c r="AJ6" s="610"/>
      <c r="AK6" s="610"/>
      <c r="AL6" s="610"/>
      <c r="AM6" s="610"/>
      <c r="AN6" s="610"/>
      <c r="AO6" s="15"/>
      <c r="AP6" s="15"/>
      <c r="AQ6" s="15"/>
      <c r="AR6" s="15"/>
      <c r="AS6" s="15"/>
      <c r="AT6" s="15"/>
      <c r="AU6" s="15"/>
      <c r="AV6" s="15"/>
      <c r="AW6" s="15"/>
      <c r="AX6" s="15"/>
      <c r="AY6" s="15"/>
      <c r="AZ6" s="15"/>
      <c r="BA6" s="15"/>
      <c r="BB6" s="15"/>
      <c r="BC6" s="15"/>
      <c r="BD6" s="15"/>
    </row>
    <row r="7" spans="1:56" ht="12.75" customHeight="1" x14ac:dyDescent="0.25">
      <c r="A7" s="74">
        <v>9257005</v>
      </c>
      <c r="B7" s="67" t="s">
        <v>63</v>
      </c>
      <c r="C7" s="121">
        <v>4</v>
      </c>
      <c r="D7" s="523">
        <f>VLOOKUP(A7,'2324 Band Moderations'!$B$5:$S$21,6,(FALSE))</f>
        <v>8.4507042253521125E-2</v>
      </c>
      <c r="E7" s="523">
        <f>VLOOKUP(A7,'2324 Band Moderations'!$B$5:$S$21,8,(FALSE))</f>
        <v>0.352112676056338</v>
      </c>
      <c r="F7" s="523">
        <f>VLOOKUP(A7,'2324 Band Moderations'!$B$5:$S$21,10,(FALSE))</f>
        <v>8.4507042253521125E-2</v>
      </c>
      <c r="G7" s="523">
        <f>VLOOKUP(A7,'2324 Band Moderations'!$B$5:$S$21,12,(FALSE))</f>
        <v>0.12676056338028169</v>
      </c>
      <c r="H7" s="523">
        <f>VLOOKUP(A7,'2324 Band Moderations'!$B$5:$S$21,14,(FALSE))</f>
        <v>0.11267605633802817</v>
      </c>
      <c r="I7" s="523">
        <f>VLOOKUP(A7,'2324 Band Moderations'!$B$5:$S$21,16,(FALSE))</f>
        <v>0.16901408450704225</v>
      </c>
      <c r="J7" s="523">
        <f>VLOOKUP(A7,'2324 Band Moderations'!$B$5:$S$21,18,(FALSE))</f>
        <v>7.0422535211267609E-2</v>
      </c>
      <c r="K7" s="162">
        <v>59</v>
      </c>
      <c r="L7" s="524">
        <f t="shared" si="0"/>
        <v>320948.22769953054</v>
      </c>
      <c r="M7" s="524">
        <v>0</v>
      </c>
      <c r="N7" s="524">
        <f t="shared" ref="N7:N22" si="1">SUM(L7:M7)</f>
        <v>320948.22769953054</v>
      </c>
      <c r="O7" s="525">
        <f t="shared" ref="O7:O22" si="2">(K7*(5/12))*10000</f>
        <v>245833.33333333334</v>
      </c>
      <c r="P7" s="525">
        <f>(VLOOKUP(A7,'2324 Funding Detail'!$A$4:$AA$20,25,FALSE)*5/12)*K7</f>
        <v>237481.72299733621</v>
      </c>
      <c r="Q7" s="65"/>
      <c r="R7" s="65">
        <f t="shared" ref="R7:R22" si="3">(J7*K7*$G$100)*5/12</f>
        <v>42252.171361502355</v>
      </c>
      <c r="S7" s="63"/>
      <c r="T7" s="619"/>
      <c r="U7" s="619"/>
      <c r="V7" s="610"/>
      <c r="W7" s="610"/>
      <c r="X7" s="610"/>
      <c r="Y7" s="610"/>
      <c r="Z7" s="610"/>
      <c r="AA7" s="610"/>
      <c r="AB7" s="610"/>
      <c r="AC7" s="610"/>
      <c r="AD7" s="610"/>
      <c r="AE7" s="610"/>
      <c r="AF7" s="610"/>
      <c r="AG7" s="610"/>
      <c r="AH7" s="15"/>
      <c r="AI7" s="15"/>
      <c r="AJ7" s="15"/>
      <c r="AK7" s="15"/>
      <c r="AL7" s="15"/>
      <c r="AM7" s="15"/>
      <c r="AN7" s="15"/>
      <c r="AO7" s="15"/>
      <c r="AP7" s="15"/>
      <c r="AQ7" s="15"/>
      <c r="AR7" s="15"/>
      <c r="AS7" s="15"/>
      <c r="AT7" s="15"/>
      <c r="AU7" s="15"/>
      <c r="AV7" s="15"/>
      <c r="AW7" s="15"/>
      <c r="AX7" s="15"/>
      <c r="AY7" s="15"/>
      <c r="AZ7" s="15"/>
      <c r="BA7" s="15"/>
      <c r="BB7" s="15"/>
      <c r="BC7" s="15"/>
      <c r="BD7" s="15"/>
    </row>
    <row r="8" spans="1:56" ht="12.75" customHeight="1" x14ac:dyDescent="0.25">
      <c r="A8" s="74">
        <v>9257025</v>
      </c>
      <c r="B8" s="67" t="s">
        <v>64</v>
      </c>
      <c r="C8" s="121">
        <v>4</v>
      </c>
      <c r="D8" s="523">
        <f>VLOOKUP(A8,'2324 Band Moderations'!$B$5:$S$21,6,(FALSE))</f>
        <v>0.13333333333333333</v>
      </c>
      <c r="E8" s="523">
        <f>VLOOKUP(A8,'2324 Band Moderations'!$B$5:$S$21,8,(FALSE))</f>
        <v>0.53333333333333333</v>
      </c>
      <c r="F8" s="523">
        <f>VLOOKUP(A8,'2324 Band Moderations'!$B$5:$S$21,10,(FALSE))</f>
        <v>4.4444444444444446E-2</v>
      </c>
      <c r="G8" s="523">
        <f>VLOOKUP(A8,'2324 Band Moderations'!$B$5:$S$21,12,(FALSE))</f>
        <v>0.1111111111111111</v>
      </c>
      <c r="H8" s="523">
        <f>VLOOKUP(A8,'2324 Band Moderations'!$B$5:$S$21,14,(FALSE))</f>
        <v>1.1111111111111112E-2</v>
      </c>
      <c r="I8" s="523">
        <f>VLOOKUP(A8,'2324 Band Moderations'!$B$5:$S$21,16,(FALSE))</f>
        <v>0.12222222222222222</v>
      </c>
      <c r="J8" s="523">
        <f>VLOOKUP(A8,'2324 Band Moderations'!$B$5:$S$21,18,(FALSE))</f>
        <v>4.4444444444444446E-2</v>
      </c>
      <c r="K8" s="162">
        <v>65</v>
      </c>
      <c r="L8" s="524">
        <f t="shared" si="0"/>
        <v>295019.95370370371</v>
      </c>
      <c r="M8" s="524">
        <v>0</v>
      </c>
      <c r="N8" s="524">
        <f t="shared" si="1"/>
        <v>295019.95370370371</v>
      </c>
      <c r="O8" s="525">
        <f t="shared" si="2"/>
        <v>270833.33333333337</v>
      </c>
      <c r="P8" s="525">
        <f>(VLOOKUP(A8,'2324 Funding Detail'!$A$4:$AA$20,25,FALSE)*5/12)*K8</f>
        <v>177783.96183687766</v>
      </c>
      <c r="Q8" s="65"/>
      <c r="R8" s="65">
        <f t="shared" si="3"/>
        <v>29377.592592592595</v>
      </c>
      <c r="S8" s="63"/>
      <c r="T8" s="619"/>
      <c r="U8" s="619"/>
      <c r="V8" s="610"/>
      <c r="W8" s="610"/>
      <c r="X8" s="610"/>
      <c r="Y8" s="610"/>
      <c r="Z8" s="610"/>
      <c r="AA8" s="610"/>
      <c r="AB8" s="610"/>
      <c r="AC8" s="610"/>
      <c r="AD8" s="610"/>
      <c r="AE8" s="610"/>
      <c r="AF8" s="610"/>
      <c r="AG8" s="610"/>
      <c r="AH8" s="15"/>
      <c r="AI8" s="15"/>
      <c r="AJ8" s="15"/>
      <c r="AK8" s="15"/>
      <c r="AL8" s="15"/>
      <c r="AM8" s="15"/>
      <c r="AN8" s="15"/>
      <c r="AO8" s="15"/>
      <c r="AP8" s="15"/>
      <c r="AQ8" s="15"/>
      <c r="AR8" s="15"/>
      <c r="AS8" s="15"/>
      <c r="AT8" s="15"/>
      <c r="AU8" s="15"/>
      <c r="AV8" s="15"/>
      <c r="AW8" s="15"/>
      <c r="AX8" s="15"/>
      <c r="AY8" s="15"/>
      <c r="AZ8" s="15"/>
      <c r="BA8" s="15"/>
      <c r="BB8" s="15"/>
      <c r="BC8" s="15"/>
      <c r="BD8" s="15"/>
    </row>
    <row r="9" spans="1:56" x14ac:dyDescent="0.25">
      <c r="A9" s="74">
        <v>9257024</v>
      </c>
      <c r="B9" s="67" t="s">
        <v>66</v>
      </c>
      <c r="C9" s="121">
        <v>4</v>
      </c>
      <c r="D9" s="523">
        <f>VLOOKUP(A9,'2324 Band Moderations'!$B$5:$S$21,6,(FALSE))</f>
        <v>8.2352941176470587E-2</v>
      </c>
      <c r="E9" s="523">
        <f>VLOOKUP(A9,'2324 Band Moderations'!$B$5:$S$21,8,(FALSE))</f>
        <v>0.54117647058823526</v>
      </c>
      <c r="F9" s="523">
        <f>VLOOKUP(A9,'2324 Band Moderations'!$B$5:$S$21,10,(FALSE))</f>
        <v>1.1764705882352941E-2</v>
      </c>
      <c r="G9" s="523">
        <f>VLOOKUP(A9,'2324 Band Moderations'!$B$5:$S$21,12,(FALSE))</f>
        <v>0.17647058823529413</v>
      </c>
      <c r="H9" s="523">
        <f>VLOOKUP(A9,'2324 Band Moderations'!$B$5:$S$21,14,(FALSE))</f>
        <v>7.0588235294117646E-2</v>
      </c>
      <c r="I9" s="523">
        <f>VLOOKUP(A9,'2324 Band Moderations'!$B$5:$S$21,16,(FALSE))</f>
        <v>4.7058823529411764E-2</v>
      </c>
      <c r="J9" s="523">
        <f>VLOOKUP(A9,'2324 Band Moderations'!$B$5:$S$21,18,(FALSE))</f>
        <v>7.0588235294117646E-2</v>
      </c>
      <c r="K9" s="162">
        <v>75</v>
      </c>
      <c r="L9" s="524">
        <f t="shared" si="0"/>
        <v>357845.95588235295</v>
      </c>
      <c r="M9" s="524">
        <v>0</v>
      </c>
      <c r="N9" s="524">
        <f t="shared" si="1"/>
        <v>357845.95588235295</v>
      </c>
      <c r="O9" s="525">
        <f t="shared" si="2"/>
        <v>312500</v>
      </c>
      <c r="P9" s="525">
        <f>(VLOOKUP(A9,'2324 Funding Detail'!$A$4:$AA$20,25,FALSE)*5/12)*K9</f>
        <v>226764.98239030957</v>
      </c>
      <c r="Q9" s="65"/>
      <c r="R9" s="65">
        <f t="shared" si="3"/>
        <v>53836.76470588235</v>
      </c>
      <c r="S9" s="63"/>
      <c r="T9" s="619"/>
      <c r="U9" s="619"/>
      <c r="V9" s="610"/>
      <c r="W9" s="610"/>
      <c r="X9" s="610"/>
      <c r="Y9" s="610"/>
      <c r="Z9" s="610"/>
      <c r="AA9" s="610"/>
      <c r="AB9" s="610"/>
      <c r="AC9" s="610"/>
      <c r="AD9" s="610"/>
      <c r="AE9" s="610"/>
      <c r="AF9" s="610"/>
      <c r="AG9" s="610"/>
      <c r="AH9" s="15"/>
      <c r="AI9" s="15"/>
      <c r="AJ9" s="15"/>
      <c r="AK9" s="15"/>
      <c r="AL9" s="15"/>
      <c r="AM9" s="15"/>
      <c r="AN9" s="15"/>
      <c r="AO9" s="15"/>
      <c r="AP9" s="15"/>
      <c r="AQ9" s="15"/>
      <c r="AR9" s="15"/>
      <c r="AS9" s="15"/>
      <c r="AT9" s="15"/>
      <c r="AU9" s="15"/>
      <c r="AV9" s="15"/>
      <c r="AW9" s="15"/>
      <c r="AX9" s="15"/>
      <c r="AY9" s="15"/>
      <c r="AZ9" s="15"/>
      <c r="BA9" s="15"/>
      <c r="BB9" s="15"/>
      <c r="BC9" s="15"/>
      <c r="BD9" s="15"/>
    </row>
    <row r="10" spans="1:56" ht="12.75" customHeight="1" x14ac:dyDescent="0.25">
      <c r="A10" s="74">
        <v>9257031</v>
      </c>
      <c r="B10" s="67" t="s">
        <v>84</v>
      </c>
      <c r="C10" s="121">
        <v>5</v>
      </c>
      <c r="D10" s="523">
        <f>VLOOKUP(A10,'2324 Band Moderations'!$B$5:$S$21,6,(FALSE))</f>
        <v>0</v>
      </c>
      <c r="E10" s="523">
        <f>VLOOKUP(A10,'2324 Band Moderations'!$B$5:$S$21,8,(FALSE))</f>
        <v>0</v>
      </c>
      <c r="F10" s="523">
        <f>VLOOKUP(A10,'2324 Band Moderations'!$B$5:$S$21,10,(FALSE))</f>
        <v>1</v>
      </c>
      <c r="G10" s="523">
        <f>VLOOKUP(A10,'2324 Band Moderations'!$B$5:$S$21,12,(FALSE))</f>
        <v>0</v>
      </c>
      <c r="H10" s="523">
        <f>VLOOKUP(A10,'2324 Band Moderations'!$B$5:$S$21,14,(FALSE))</f>
        <v>0</v>
      </c>
      <c r="I10" s="523">
        <f>VLOOKUP(A10,'2324 Band Moderations'!$B$5:$S$21,16,(FALSE))</f>
        <v>0</v>
      </c>
      <c r="J10" s="523">
        <f>VLOOKUP(A10,'2324 Band Moderations'!$B$5:$S$21,18,(FALSE))</f>
        <v>0</v>
      </c>
      <c r="K10" s="162">
        <v>80</v>
      </c>
      <c r="L10" s="524">
        <f t="shared" si="0"/>
        <v>518900</v>
      </c>
      <c r="M10" s="524">
        <v>0</v>
      </c>
      <c r="N10" s="524">
        <f t="shared" si="1"/>
        <v>518900</v>
      </c>
      <c r="O10" s="525">
        <f t="shared" si="2"/>
        <v>333333.33333333337</v>
      </c>
      <c r="P10" s="525">
        <f>(VLOOKUP(A10,'2324 Funding Detail'!$A$4:$AA$20,25,FALSE)*5/12)*K10</f>
        <v>403127.70079282997</v>
      </c>
      <c r="Q10" s="65"/>
      <c r="R10" s="65">
        <f t="shared" si="3"/>
        <v>0</v>
      </c>
      <c r="S10" s="63"/>
      <c r="T10" s="619"/>
      <c r="U10" s="619"/>
      <c r="V10" s="610"/>
      <c r="W10" s="610"/>
      <c r="X10" s="610"/>
      <c r="Y10" s="610"/>
      <c r="Z10" s="610"/>
      <c r="AA10" s="610"/>
      <c r="AB10" s="610"/>
      <c r="AC10" s="610"/>
      <c r="AD10" s="610"/>
      <c r="AE10" s="610"/>
      <c r="AF10" s="610"/>
      <c r="AG10" s="610"/>
      <c r="AH10" s="15"/>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1:56" x14ac:dyDescent="0.25">
      <c r="A11" s="74">
        <v>9257033</v>
      </c>
      <c r="B11" s="67" t="s">
        <v>74</v>
      </c>
      <c r="C11" s="121" t="s">
        <v>451</v>
      </c>
      <c r="D11" s="523">
        <f>VLOOKUP(A11,'2324 Band Moderations'!$B$5:$S$21,6,(FALSE))</f>
        <v>0.13513513513513514</v>
      </c>
      <c r="E11" s="523">
        <f>VLOOKUP(A11,'2324 Band Moderations'!$B$5:$S$21,8,(FALSE))</f>
        <v>0.67567567567567566</v>
      </c>
      <c r="F11" s="523">
        <f>VLOOKUP(A11,'2324 Band Moderations'!$B$5:$S$21,10,(FALSE))</f>
        <v>9.0090090090090089E-3</v>
      </c>
      <c r="G11" s="523">
        <f>VLOOKUP(A11,'2324 Band Moderations'!$B$5:$S$21,12,(FALSE))</f>
        <v>9.0090090090090086E-2</v>
      </c>
      <c r="H11" s="523">
        <f>VLOOKUP(A11,'2324 Band Moderations'!$B$5:$S$21,14,(FALSE))</f>
        <v>4.5045045045045043E-2</v>
      </c>
      <c r="I11" s="523">
        <f>VLOOKUP(A11,'2324 Band Moderations'!$B$5:$S$21,16,(FALSE))</f>
        <v>2.7027027027027029E-2</v>
      </c>
      <c r="J11" s="523">
        <f>VLOOKUP(A11,'2324 Band Moderations'!$B$5:$S$21,18,(FALSE))</f>
        <v>1.8018018018018018E-2</v>
      </c>
      <c r="K11" s="162">
        <v>112</v>
      </c>
      <c r="L11" s="524">
        <f t="shared" si="0"/>
        <v>439470.93093093089</v>
      </c>
      <c r="M11" s="524">
        <v>0</v>
      </c>
      <c r="N11" s="524">
        <f t="shared" si="1"/>
        <v>439470.93093093089</v>
      </c>
      <c r="O11" s="525">
        <f t="shared" si="2"/>
        <v>466666.66666666669</v>
      </c>
      <c r="P11" s="525">
        <f>(VLOOKUP(A11,'2324 Funding Detail'!$A$4:$AA$20,25,FALSE)*5/12)*K11</f>
        <v>197181.04375144368</v>
      </c>
      <c r="Q11" s="65"/>
      <c r="R11" s="65">
        <f t="shared" si="3"/>
        <v>20521.561561561561</v>
      </c>
      <c r="S11" s="63"/>
      <c r="T11" s="619"/>
      <c r="U11" s="619"/>
      <c r="V11" s="610"/>
      <c r="W11" s="610"/>
      <c r="X11" s="610"/>
      <c r="Y11" s="610"/>
      <c r="Z11" s="610"/>
      <c r="AA11" s="610"/>
      <c r="AB11" s="610"/>
      <c r="AC11" s="610"/>
      <c r="AD11" s="610"/>
      <c r="AE11" s="610"/>
      <c r="AF11" s="610"/>
      <c r="AG11" s="610"/>
      <c r="AH11" s="15"/>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1:56" x14ac:dyDescent="0.25">
      <c r="A12" s="74">
        <v>9257008</v>
      </c>
      <c r="B12" s="67" t="s">
        <v>67</v>
      </c>
      <c r="C12" s="121">
        <v>4</v>
      </c>
      <c r="D12" s="523">
        <f>VLOOKUP(A12,'2324 Band Moderations'!$B$5:$S$21,6,(FALSE))</f>
        <v>0.15841584158415842</v>
      </c>
      <c r="E12" s="523">
        <f>VLOOKUP(A12,'2324 Band Moderations'!$B$5:$S$21,8,(FALSE))</f>
        <v>0.62376237623762376</v>
      </c>
      <c r="F12" s="523">
        <f>VLOOKUP(A12,'2324 Band Moderations'!$B$5:$S$21,10,(FALSE))</f>
        <v>4.9504950495049507E-2</v>
      </c>
      <c r="G12" s="523">
        <f>VLOOKUP(A12,'2324 Band Moderations'!$B$5:$S$21,12,(FALSE))</f>
        <v>0.10891089108910891</v>
      </c>
      <c r="H12" s="523">
        <f>VLOOKUP(A12,'2324 Band Moderations'!$B$5:$S$21,14,(FALSE))</f>
        <v>0</v>
      </c>
      <c r="I12" s="523">
        <f>VLOOKUP(A12,'2324 Band Moderations'!$B$5:$S$21,16,(FALSE))</f>
        <v>5.9405940594059403E-2</v>
      </c>
      <c r="J12" s="523">
        <f>VLOOKUP(A12,'2324 Band Moderations'!$B$5:$S$21,18,(FALSE))</f>
        <v>0</v>
      </c>
      <c r="K12" s="162">
        <v>101</v>
      </c>
      <c r="L12" s="524">
        <f t="shared" si="0"/>
        <v>399232.08333333337</v>
      </c>
      <c r="M12" s="524">
        <v>0</v>
      </c>
      <c r="N12" s="524">
        <f t="shared" si="1"/>
        <v>399232.08333333337</v>
      </c>
      <c r="O12" s="525">
        <f t="shared" si="2"/>
        <v>420833.33333333337</v>
      </c>
      <c r="P12" s="525">
        <f>(VLOOKUP(A12,'2324 Funding Detail'!$A$4:$AA$20,25,FALSE)*5/12)*K12</f>
        <v>200472.95833333334</v>
      </c>
      <c r="Q12" s="65"/>
      <c r="R12" s="65">
        <f t="shared" si="3"/>
        <v>0</v>
      </c>
      <c r="S12" s="63"/>
      <c r="T12" s="619"/>
      <c r="U12" s="619"/>
      <c r="V12" s="610"/>
      <c r="W12" s="610"/>
      <c r="X12" s="610"/>
      <c r="Y12" s="610"/>
      <c r="Z12" s="610"/>
      <c r="AA12" s="610"/>
      <c r="AB12" s="610"/>
      <c r="AC12" s="610"/>
      <c r="AD12" s="610"/>
      <c r="AE12" s="610"/>
      <c r="AF12" s="610"/>
      <c r="AG12" s="610"/>
      <c r="AH12" s="15"/>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1:56" x14ac:dyDescent="0.25">
      <c r="A13" s="74">
        <v>9257034</v>
      </c>
      <c r="B13" s="67" t="s">
        <v>75</v>
      </c>
      <c r="C13" s="121" t="s">
        <v>451</v>
      </c>
      <c r="D13" s="523">
        <f>VLOOKUP(A13,'2324 Band Moderations'!$B$5:$S$21,6,(FALSE))</f>
        <v>0.42735042735042733</v>
      </c>
      <c r="E13" s="523">
        <f>VLOOKUP(A13,'2324 Band Moderations'!$B$5:$S$21,8,(FALSE))</f>
        <v>0.3504273504273504</v>
      </c>
      <c r="F13" s="523">
        <f>VLOOKUP(A13,'2324 Band Moderations'!$B$5:$S$21,10,(FALSE))</f>
        <v>9.4017094017094016E-2</v>
      </c>
      <c r="G13" s="523">
        <f>VLOOKUP(A13,'2324 Band Moderations'!$B$5:$S$21,12,(FALSE))</f>
        <v>5.128205128205128E-2</v>
      </c>
      <c r="H13" s="523">
        <f>VLOOKUP(A13,'2324 Band Moderations'!$B$5:$S$21,14,(FALSE))</f>
        <v>2.564102564102564E-2</v>
      </c>
      <c r="I13" s="523">
        <f>VLOOKUP(A13,'2324 Band Moderations'!$B$5:$S$21,16,(FALSE))</f>
        <v>4.2735042735042736E-2</v>
      </c>
      <c r="J13" s="523">
        <f>VLOOKUP(A13,'2324 Band Moderations'!$B$5:$S$21,18,(FALSE))</f>
        <v>8.5470085470085479E-3</v>
      </c>
      <c r="K13" s="162">
        <v>94</v>
      </c>
      <c r="L13" s="524">
        <f t="shared" si="0"/>
        <v>361175.24928774935</v>
      </c>
      <c r="M13" s="524">
        <v>0</v>
      </c>
      <c r="N13" s="524">
        <f t="shared" si="1"/>
        <v>361175.24928774935</v>
      </c>
      <c r="O13" s="525">
        <f t="shared" si="2"/>
        <v>391666.66666666669</v>
      </c>
      <c r="P13" s="525">
        <f>(VLOOKUP(A13,'2324 Funding Detail'!$A$4:$AA$20,25,FALSE)*5/12)*K13</f>
        <v>159380.38339227004</v>
      </c>
      <c r="Q13" s="65"/>
      <c r="R13" s="65">
        <f t="shared" si="3"/>
        <v>8170.0997150997146</v>
      </c>
      <c r="S13" s="63"/>
      <c r="T13" s="619"/>
      <c r="U13" s="619"/>
      <c r="V13" s="610"/>
      <c r="W13" s="610"/>
      <c r="X13" s="610"/>
      <c r="Y13" s="610"/>
      <c r="Z13" s="610"/>
      <c r="AA13" s="610"/>
      <c r="AB13" s="610"/>
      <c r="AC13" s="610"/>
      <c r="AD13" s="610"/>
      <c r="AE13" s="610"/>
      <c r="AF13" s="610"/>
      <c r="AG13" s="610"/>
      <c r="AH13" s="15"/>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x14ac:dyDescent="0.25">
      <c r="A14" s="74">
        <v>9257002</v>
      </c>
      <c r="B14" s="67" t="s">
        <v>68</v>
      </c>
      <c r="C14" s="121">
        <v>5</v>
      </c>
      <c r="D14" s="523">
        <f>VLOOKUP(A14,'2324 Band Moderations'!$B$5:$S$21,6,(FALSE))</f>
        <v>0.17682926829268292</v>
      </c>
      <c r="E14" s="523">
        <f>VLOOKUP(A14,'2324 Band Moderations'!$B$5:$S$21,8,(FALSE))</f>
        <v>0.51829268292682928</v>
      </c>
      <c r="F14" s="523">
        <f>VLOOKUP(A14,'2324 Band Moderations'!$B$5:$S$21,10,(FALSE))</f>
        <v>0.12804878048780488</v>
      </c>
      <c r="G14" s="523">
        <f>VLOOKUP(A14,'2324 Band Moderations'!$B$5:$S$21,12,(FALSE))</f>
        <v>3.6585365853658534E-2</v>
      </c>
      <c r="H14" s="523">
        <f>VLOOKUP(A14,'2324 Band Moderations'!$B$5:$S$21,14,(FALSE))</f>
        <v>3.048780487804878E-2</v>
      </c>
      <c r="I14" s="523">
        <f>VLOOKUP(A14,'2324 Band Moderations'!$B$5:$S$21,16,(FALSE))</f>
        <v>9.7560975609756101E-2</v>
      </c>
      <c r="J14" s="523">
        <f>VLOOKUP(A14,'2324 Band Moderations'!$B$5:$S$21,18,(FALSE))</f>
        <v>1.2195121951219513E-2</v>
      </c>
      <c r="K14" s="162">
        <v>159</v>
      </c>
      <c r="L14" s="524">
        <f t="shared" si="0"/>
        <v>681114.23018292687</v>
      </c>
      <c r="M14" s="524">
        <v>0</v>
      </c>
      <c r="N14" s="524">
        <f t="shared" si="1"/>
        <v>681114.23018292687</v>
      </c>
      <c r="O14" s="525">
        <f t="shared" si="2"/>
        <v>662500</v>
      </c>
      <c r="P14" s="525">
        <f>(VLOOKUP(A14,'2324 Funding Detail'!$A$4:$AA$20,25,FALSE)*5/12)*K14</f>
        <v>287476.71957611857</v>
      </c>
      <c r="Q14" s="65"/>
      <c r="R14" s="65">
        <f t="shared" si="3"/>
        <v>19718.262195121952</v>
      </c>
      <c r="S14" s="63"/>
      <c r="T14" s="619"/>
      <c r="U14" s="619"/>
      <c r="V14" s="610"/>
      <c r="W14" s="610"/>
      <c r="X14" s="610"/>
      <c r="Y14" s="610"/>
      <c r="Z14" s="610"/>
      <c r="AA14" s="610"/>
      <c r="AB14" s="610"/>
      <c r="AC14" s="610"/>
      <c r="AD14" s="610"/>
      <c r="AE14" s="610"/>
      <c r="AF14" s="610"/>
      <c r="AG14" s="610"/>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1:56" x14ac:dyDescent="0.25">
      <c r="A15" s="74">
        <v>9257009</v>
      </c>
      <c r="B15" s="67" t="s">
        <v>334</v>
      </c>
      <c r="C15" s="121" t="s">
        <v>451</v>
      </c>
      <c r="D15" s="523">
        <f>VLOOKUP(A15,'2324 Band Moderations'!$B$5:$S$21,6,(FALSE))</f>
        <v>0.17258883248730963</v>
      </c>
      <c r="E15" s="523">
        <f>VLOOKUP(A15,'2324 Band Moderations'!$B$5:$S$21,8,(FALSE))</f>
        <v>0.50761421319796951</v>
      </c>
      <c r="F15" s="523">
        <f>VLOOKUP(A15,'2324 Band Moderations'!$B$5:$S$21,10,(FALSE))</f>
        <v>6.5989847715736044E-2</v>
      </c>
      <c r="G15" s="523">
        <f>VLOOKUP(A15,'2324 Band Moderations'!$B$5:$S$21,12,(FALSE))</f>
        <v>8.1218274111675121E-2</v>
      </c>
      <c r="H15" s="523">
        <f>VLOOKUP(A15,'2324 Band Moderations'!$B$5:$S$21,14,(FALSE))</f>
        <v>3.553299492385787E-2</v>
      </c>
      <c r="I15" s="523">
        <f>VLOOKUP(A15,'2324 Band Moderations'!$B$5:$S$21,16,(FALSE))</f>
        <v>8.6294416243654817E-2</v>
      </c>
      <c r="J15" s="523">
        <f>VLOOKUP(A15,'2324 Band Moderations'!$B$5:$S$21,18,(FALSE))</f>
        <v>5.0761421319796954E-2</v>
      </c>
      <c r="K15" s="162">
        <f>139+52</f>
        <v>191</v>
      </c>
      <c r="L15" s="524">
        <f t="shared" si="0"/>
        <v>854843.36505922175</v>
      </c>
      <c r="M15" s="524">
        <v>0</v>
      </c>
      <c r="N15" s="524">
        <f t="shared" si="1"/>
        <v>854843.36505922175</v>
      </c>
      <c r="O15" s="525">
        <f t="shared" si="2"/>
        <v>795833.33333333337</v>
      </c>
      <c r="P15" s="525">
        <f>(VLOOKUP(A15,'2324 Funding Detail'!$A$4:$AA$20,25,FALSE)*5/12)*K15</f>
        <v>375791.19919628836</v>
      </c>
      <c r="Q15" s="65"/>
      <c r="R15" s="65">
        <f t="shared" si="3"/>
        <v>98594.458544839246</v>
      </c>
      <c r="S15" s="63"/>
      <c r="T15" s="619"/>
      <c r="U15" s="619"/>
      <c r="V15" s="610"/>
      <c r="W15" s="610"/>
      <c r="X15" s="610"/>
      <c r="Y15" s="610"/>
      <c r="Z15" s="610"/>
      <c r="AA15" s="610"/>
      <c r="AB15" s="610"/>
      <c r="AC15" s="610"/>
      <c r="AD15" s="610"/>
      <c r="AE15" s="610"/>
      <c r="AF15" s="610"/>
      <c r="AG15" s="610"/>
      <c r="AH15" s="15"/>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1:56" x14ac:dyDescent="0.25">
      <c r="A16" s="74">
        <v>9257029</v>
      </c>
      <c r="B16" s="67" t="s">
        <v>278</v>
      </c>
      <c r="C16" s="121" t="s">
        <v>452</v>
      </c>
      <c r="D16" s="523">
        <f>VLOOKUP(A16,'2324 Band Moderations'!$B$5:$S$21,6,(FALSE))</f>
        <v>0</v>
      </c>
      <c r="E16" s="523">
        <f>VLOOKUP(A16,'2324 Band Moderations'!$B$5:$S$21,8,(FALSE))</f>
        <v>0</v>
      </c>
      <c r="F16" s="523">
        <f>VLOOKUP(A16,'2324 Band Moderations'!$B$5:$S$21,10,(FALSE))</f>
        <v>1</v>
      </c>
      <c r="G16" s="523">
        <f>VLOOKUP(A16,'2324 Band Moderations'!$B$5:$S$21,12,(FALSE))</f>
        <v>0</v>
      </c>
      <c r="H16" s="523">
        <f>VLOOKUP(A16,'2324 Band Moderations'!$B$5:$S$21,14,(FALSE))</f>
        <v>0</v>
      </c>
      <c r="I16" s="523">
        <f>VLOOKUP(A16,'2324 Band Moderations'!$B$5:$S$21,16,(FALSE))</f>
        <v>0</v>
      </c>
      <c r="J16" s="523">
        <f>VLOOKUP(A16,'2324 Band Moderations'!$B$5:$S$21,18,(FALSE))</f>
        <v>0</v>
      </c>
      <c r="K16" s="162">
        <v>79</v>
      </c>
      <c r="L16" s="524">
        <f t="shared" si="0"/>
        <v>512413.75</v>
      </c>
      <c r="M16" s="524">
        <v>0</v>
      </c>
      <c r="N16" s="524">
        <f t="shared" si="1"/>
        <v>512413.75</v>
      </c>
      <c r="O16" s="525">
        <f t="shared" si="2"/>
        <v>329166.66666666669</v>
      </c>
      <c r="P16" s="525">
        <f>(VLOOKUP(A16,'2324 Funding Detail'!$A$4:$AA$20,25,FALSE)*5/12)*K16</f>
        <v>390545.64583333337</v>
      </c>
      <c r="Q16" s="65"/>
      <c r="R16" s="65">
        <f t="shared" si="3"/>
        <v>0</v>
      </c>
      <c r="S16" s="63"/>
      <c r="T16" s="619"/>
      <c r="U16" s="619"/>
      <c r="V16" s="610"/>
      <c r="W16" s="610"/>
      <c r="X16" s="610"/>
      <c r="Y16" s="610"/>
      <c r="Z16" s="610"/>
      <c r="AA16" s="610"/>
      <c r="AB16" s="610"/>
      <c r="AC16" s="610"/>
      <c r="AD16" s="610"/>
      <c r="AE16" s="610"/>
      <c r="AF16" s="610"/>
      <c r="AG16" s="610"/>
      <c r="AH16" s="15"/>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x14ac:dyDescent="0.25">
      <c r="A17" s="74">
        <v>9257032</v>
      </c>
      <c r="B17" s="67" t="s">
        <v>380</v>
      </c>
      <c r="C17" s="121" t="s">
        <v>452</v>
      </c>
      <c r="D17" s="523">
        <f>VLOOKUP(A17,'2324 Band Moderations'!$B$5:$S$21,6,(FALSE))</f>
        <v>0</v>
      </c>
      <c r="E17" s="523">
        <f>VLOOKUP(A17,'2324 Band Moderations'!$B$5:$S$21,8,(FALSE))</f>
        <v>0</v>
      </c>
      <c r="F17" s="523">
        <f>VLOOKUP(A17,'2324 Band Moderations'!$B$5:$S$21,10,(FALSE))</f>
        <v>1</v>
      </c>
      <c r="G17" s="523">
        <f>VLOOKUP(A17,'2324 Band Moderations'!$B$5:$S$21,12,(FALSE))</f>
        <v>0</v>
      </c>
      <c r="H17" s="523">
        <f>VLOOKUP(A17,'2324 Band Moderations'!$B$5:$S$21,14,(FALSE))</f>
        <v>0</v>
      </c>
      <c r="I17" s="523">
        <f>VLOOKUP(A17,'2324 Band Moderations'!$B$5:$S$21,16,(FALSE))</f>
        <v>0</v>
      </c>
      <c r="J17" s="523">
        <f>VLOOKUP(A17,'2324 Band Moderations'!$B$5:$S$21,18,(FALSE))</f>
        <v>0</v>
      </c>
      <c r="K17" s="162">
        <v>104</v>
      </c>
      <c r="L17" s="524">
        <f t="shared" si="0"/>
        <v>674570</v>
      </c>
      <c r="M17" s="524">
        <v>0</v>
      </c>
      <c r="N17" s="524">
        <f t="shared" si="1"/>
        <v>674570</v>
      </c>
      <c r="O17" s="525">
        <f t="shared" si="2"/>
        <v>433333.33333333337</v>
      </c>
      <c r="P17" s="525">
        <f>(VLOOKUP(A17,'2324 Funding Detail'!$A$4:$AA$20,25,FALSE)*5/12)*K17</f>
        <v>440450.13836477976</v>
      </c>
      <c r="Q17" s="65"/>
      <c r="R17" s="65">
        <f t="shared" si="3"/>
        <v>0</v>
      </c>
      <c r="S17" s="88"/>
      <c r="T17" s="619"/>
      <c r="U17" s="619"/>
      <c r="V17" s="610"/>
      <c r="W17" s="610"/>
      <c r="X17" s="610"/>
      <c r="Y17" s="610"/>
      <c r="Z17" s="610"/>
      <c r="AA17" s="610"/>
      <c r="AB17" s="610"/>
      <c r="AC17" s="610"/>
      <c r="AD17" s="610"/>
      <c r="AE17" s="610"/>
      <c r="AF17" s="610"/>
      <c r="AG17" s="610"/>
      <c r="AH17" s="15"/>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x14ac:dyDescent="0.25">
      <c r="A18" s="74">
        <v>9257030</v>
      </c>
      <c r="B18" s="67" t="s">
        <v>383</v>
      </c>
      <c r="C18" s="121" t="s">
        <v>452</v>
      </c>
      <c r="D18" s="523">
        <f>VLOOKUP(A18,'2324 Band Moderations'!$B$5:$S$21,6,(FALSE))</f>
        <v>0</v>
      </c>
      <c r="E18" s="523">
        <f>VLOOKUP(A18,'2324 Band Moderations'!$B$5:$S$21,8,(FALSE))</f>
        <v>0</v>
      </c>
      <c r="F18" s="523">
        <f>VLOOKUP(A18,'2324 Band Moderations'!$B$5:$S$21,10,(FALSE))</f>
        <v>1</v>
      </c>
      <c r="G18" s="523">
        <f>VLOOKUP(A18,'2324 Band Moderations'!$B$5:$S$21,12,(FALSE))</f>
        <v>0</v>
      </c>
      <c r="H18" s="523">
        <f>VLOOKUP(A18,'2324 Band Moderations'!$B$5:$S$21,14,(FALSE))</f>
        <v>0</v>
      </c>
      <c r="I18" s="523">
        <f>VLOOKUP(A18,'2324 Band Moderations'!$B$5:$S$21,16,(FALSE))</f>
        <v>0</v>
      </c>
      <c r="J18" s="523">
        <f>VLOOKUP(A18,'2324 Band Moderations'!$B$5:$S$21,18,(FALSE))</f>
        <v>0</v>
      </c>
      <c r="K18" s="162">
        <v>70</v>
      </c>
      <c r="L18" s="524">
        <f t="shared" si="0"/>
        <v>454037.5</v>
      </c>
      <c r="M18" s="524">
        <v>0</v>
      </c>
      <c r="N18" s="524">
        <f t="shared" si="1"/>
        <v>454037.5</v>
      </c>
      <c r="O18" s="525">
        <f t="shared" si="2"/>
        <v>291666.66666666669</v>
      </c>
      <c r="P18" s="525">
        <f>(VLOOKUP(A18,'2324 Funding Detail'!$A$4:$AA$20,25,FALSE)*5/12)*K18</f>
        <v>372067.58434819343</v>
      </c>
      <c r="Q18" s="65"/>
      <c r="R18" s="65">
        <f t="shared" si="3"/>
        <v>0</v>
      </c>
      <c r="S18" s="88"/>
      <c r="T18" s="619"/>
      <c r="U18" s="619"/>
      <c r="V18" s="610"/>
      <c r="W18" s="610"/>
      <c r="X18" s="610"/>
      <c r="Y18" s="610"/>
      <c r="Z18" s="610"/>
      <c r="AA18" s="610"/>
      <c r="AB18" s="610"/>
      <c r="AC18" s="610"/>
      <c r="AD18" s="610"/>
      <c r="AE18" s="610"/>
      <c r="AF18" s="610"/>
      <c r="AG18" s="610"/>
      <c r="AH18" s="15"/>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x14ac:dyDescent="0.25">
      <c r="A19" s="74">
        <v>9257028</v>
      </c>
      <c r="B19" s="67" t="s">
        <v>70</v>
      </c>
      <c r="C19" s="121">
        <v>5</v>
      </c>
      <c r="D19" s="523">
        <f>VLOOKUP(A19,'2324 Band Moderations'!$B$5:$S$21,6,(FALSE))</f>
        <v>9.0163934426229511E-2</v>
      </c>
      <c r="E19" s="523">
        <f>VLOOKUP(A19,'2324 Band Moderations'!$B$5:$S$21,8,(FALSE))</f>
        <v>0.45901639344262296</v>
      </c>
      <c r="F19" s="523">
        <f>VLOOKUP(A19,'2324 Band Moderations'!$B$5:$S$21,10,(FALSE))</f>
        <v>6.5573770491803282E-2</v>
      </c>
      <c r="G19" s="523">
        <f>VLOOKUP(A19,'2324 Band Moderations'!$B$5:$S$21,12,(FALSE))</f>
        <v>8.1967213114754092E-2</v>
      </c>
      <c r="H19" s="523">
        <f>VLOOKUP(A19,'2324 Band Moderations'!$B$5:$S$21,14,(FALSE))</f>
        <v>9.0163934426229511E-2</v>
      </c>
      <c r="I19" s="523">
        <f>VLOOKUP(A19,'2324 Band Moderations'!$B$5:$S$21,16,(FALSE))</f>
        <v>6.5573770491803282E-2</v>
      </c>
      <c r="J19" s="523">
        <f>VLOOKUP(A19,'2324 Band Moderations'!$B$5:$S$21,18,(FALSE))</f>
        <v>0.14754098360655737</v>
      </c>
      <c r="K19" s="162">
        <v>126</v>
      </c>
      <c r="L19" s="524">
        <f t="shared" si="0"/>
        <v>666454.79508196726</v>
      </c>
      <c r="M19" s="524">
        <v>0</v>
      </c>
      <c r="N19" s="524">
        <f t="shared" si="1"/>
        <v>666454.79508196726</v>
      </c>
      <c r="O19" s="525">
        <f t="shared" si="2"/>
        <v>525000</v>
      </c>
      <c r="P19" s="525">
        <f>(VLOOKUP(A19,'2324 Funding Detail'!$A$4:$AA$20,25,FALSE)*5/12)*K19</f>
        <v>396080.766836775</v>
      </c>
      <c r="Q19" s="65"/>
      <c r="R19" s="65">
        <f t="shared" si="3"/>
        <v>189046.47540983604</v>
      </c>
      <c r="S19" s="88"/>
      <c r="T19" s="619"/>
      <c r="U19" s="619"/>
      <c r="V19" s="610"/>
      <c r="W19" s="610"/>
      <c r="X19" s="610"/>
      <c r="Y19" s="610"/>
      <c r="Z19" s="610"/>
      <c r="AA19" s="610"/>
      <c r="AB19" s="610"/>
      <c r="AC19" s="610"/>
      <c r="AD19" s="610"/>
      <c r="AE19" s="610"/>
      <c r="AF19" s="610"/>
      <c r="AG19" s="610"/>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x14ac:dyDescent="0.25">
      <c r="A20" s="74">
        <v>9257021</v>
      </c>
      <c r="B20" s="67" t="s">
        <v>71</v>
      </c>
      <c r="C20" s="121" t="s">
        <v>453</v>
      </c>
      <c r="D20" s="523">
        <f>VLOOKUP(A20,'2324 Band Moderations'!$B$5:$S$21,6,(FALSE))</f>
        <v>0.21176470588235294</v>
      </c>
      <c r="E20" s="523">
        <f>VLOOKUP(A20,'2324 Band Moderations'!$B$5:$S$21,8,(FALSE))</f>
        <v>0.52352941176470591</v>
      </c>
      <c r="F20" s="523">
        <f>VLOOKUP(A20,'2324 Band Moderations'!$B$5:$S$21,10,(FALSE))</f>
        <v>0.10588235294117647</v>
      </c>
      <c r="G20" s="523">
        <f>VLOOKUP(A20,'2324 Band Moderations'!$B$5:$S$21,12,(FALSE))</f>
        <v>7.0588235294117646E-2</v>
      </c>
      <c r="H20" s="523">
        <f>VLOOKUP(A20,'2324 Band Moderations'!$B$5:$S$21,14,(FALSE))</f>
        <v>2.9411764705882353E-2</v>
      </c>
      <c r="I20" s="523">
        <f>VLOOKUP(A20,'2324 Band Moderations'!$B$5:$S$21,16,(FALSE))</f>
        <v>4.7058823529411764E-2</v>
      </c>
      <c r="J20" s="523">
        <f>VLOOKUP(A20,'2324 Band Moderations'!$B$5:$S$21,18,(FALSE))</f>
        <v>1.1764705882352941E-2</v>
      </c>
      <c r="K20" s="162">
        <v>178</v>
      </c>
      <c r="L20" s="524">
        <f t="shared" si="0"/>
        <v>731445.62745098036</v>
      </c>
      <c r="M20" s="524">
        <v>0</v>
      </c>
      <c r="N20" s="524">
        <f t="shared" si="1"/>
        <v>731445.62745098036</v>
      </c>
      <c r="O20" s="525">
        <f t="shared" si="2"/>
        <v>741666.66666666674</v>
      </c>
      <c r="P20" s="525">
        <f>(VLOOKUP(A20,'2324 Funding Detail'!$A$4:$AA$20,25,FALSE)*5/12)*K20</f>
        <v>277072.41435407568</v>
      </c>
      <c r="Q20" s="65"/>
      <c r="R20" s="65">
        <f t="shared" si="3"/>
        <v>21295.431372549017</v>
      </c>
      <c r="S20" s="88"/>
      <c r="T20" s="619"/>
      <c r="U20" s="619"/>
      <c r="V20" s="610"/>
      <c r="W20" s="610"/>
      <c r="X20" s="610"/>
      <c r="Y20" s="610"/>
      <c r="Z20" s="610"/>
      <c r="AA20" s="610"/>
      <c r="AB20" s="610"/>
      <c r="AC20" s="610"/>
      <c r="AD20" s="610"/>
      <c r="AE20" s="610"/>
      <c r="AF20" s="610"/>
      <c r="AG20" s="610"/>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x14ac:dyDescent="0.25">
      <c r="A21" s="74">
        <v>9257015</v>
      </c>
      <c r="B21" s="67" t="s">
        <v>72</v>
      </c>
      <c r="C21" s="121" t="s">
        <v>454</v>
      </c>
      <c r="D21" s="523">
        <f>VLOOKUP(A21,'2324 Band Moderations'!$B$5:$S$21,6,(FALSE))</f>
        <v>0.26991150442477874</v>
      </c>
      <c r="E21" s="523">
        <f>VLOOKUP(A21,'2324 Band Moderations'!$B$5:$S$21,8,(FALSE))</f>
        <v>0.42035398230088494</v>
      </c>
      <c r="F21" s="523">
        <f>VLOOKUP(A21,'2324 Band Moderations'!$B$5:$S$21,10,(FALSE))</f>
        <v>2.2123893805309734E-2</v>
      </c>
      <c r="G21" s="523">
        <f>VLOOKUP(A21,'2324 Band Moderations'!$B$5:$S$21,12,(FALSE))</f>
        <v>8.8495575221238937E-2</v>
      </c>
      <c r="H21" s="523">
        <f>VLOOKUP(A21,'2324 Band Moderations'!$B$5:$S$21,14,(FALSE))</f>
        <v>2.2123893805309734E-2</v>
      </c>
      <c r="I21" s="523">
        <f>VLOOKUP(A21,'2324 Band Moderations'!$B$5:$S$21,16,(FALSE))</f>
        <v>0.15929203539823009</v>
      </c>
      <c r="J21" s="523">
        <f>VLOOKUP(A21,'2324 Band Moderations'!$B$5:$S$21,18,(FALSE))</f>
        <v>1.7699115044247787E-2</v>
      </c>
      <c r="K21" s="162">
        <v>209</v>
      </c>
      <c r="L21" s="524">
        <f t="shared" si="0"/>
        <v>901569.51143067842</v>
      </c>
      <c r="M21" s="524">
        <v>0</v>
      </c>
      <c r="N21" s="524">
        <f t="shared" si="1"/>
        <v>901569.51143067842</v>
      </c>
      <c r="O21" s="525">
        <f t="shared" si="2"/>
        <v>870833.33333333337</v>
      </c>
      <c r="P21" s="525">
        <f>(VLOOKUP(A21,'2324 Funding Detail'!$A$4:$AA$20,25,FALSE)*5/12)*K21</f>
        <v>338678.94836761511</v>
      </c>
      <c r="Q21" s="65"/>
      <c r="R21" s="65">
        <f t="shared" si="3"/>
        <v>37616.917404129788</v>
      </c>
      <c r="S21" s="88"/>
      <c r="T21" s="619"/>
      <c r="U21" s="619"/>
      <c r="V21" s="610"/>
      <c r="W21" s="610"/>
      <c r="X21" s="610"/>
      <c r="Y21" s="610"/>
      <c r="Z21" s="610"/>
      <c r="AA21" s="610"/>
      <c r="AB21" s="610"/>
      <c r="AC21" s="610"/>
      <c r="AD21" s="610"/>
      <c r="AE21" s="610"/>
      <c r="AF21" s="610"/>
      <c r="AG21" s="610"/>
      <c r="AH21" s="15"/>
      <c r="AI21" s="15"/>
      <c r="AJ21" s="15"/>
      <c r="AK21" s="15"/>
      <c r="AL21" s="15"/>
      <c r="AM21" s="15"/>
      <c r="AN21" s="15"/>
      <c r="AO21" s="15"/>
      <c r="AP21" s="15"/>
      <c r="AQ21" s="15"/>
      <c r="AR21" s="15"/>
      <c r="AS21" s="15"/>
      <c r="AT21" s="15"/>
      <c r="AU21" s="15"/>
      <c r="AV21" s="15"/>
      <c r="AW21" s="15"/>
      <c r="AX21" s="15"/>
      <c r="AY21" s="15"/>
      <c r="AZ21" s="15"/>
      <c r="BA21" s="15"/>
      <c r="BB21" s="15"/>
      <c r="BC21" s="15"/>
      <c r="BD21" s="15"/>
    </row>
    <row r="22" spans="1:56" x14ac:dyDescent="0.25">
      <c r="A22" s="74">
        <v>9257016</v>
      </c>
      <c r="B22" s="67" t="s">
        <v>73</v>
      </c>
      <c r="C22" s="121" t="s">
        <v>454</v>
      </c>
      <c r="D22" s="523">
        <f>VLOOKUP(A22,'2324 Band Moderations'!$B$5:$S$21,6,(FALSE))</f>
        <v>0.11874999999999999</v>
      </c>
      <c r="E22" s="523">
        <f>VLOOKUP(A22,'2324 Band Moderations'!$B$5:$S$21,8,(FALSE))</f>
        <v>0.21249999999999999</v>
      </c>
      <c r="F22" s="523">
        <f>VLOOKUP(A22,'2324 Band Moderations'!$B$5:$S$21,10,(FALSE))</f>
        <v>1.2500000000000001E-2</v>
      </c>
      <c r="G22" s="523">
        <f>VLOOKUP(A22,'2324 Band Moderations'!$B$5:$S$21,12,(FALSE))</f>
        <v>0.24374999999999999</v>
      </c>
      <c r="H22" s="523">
        <f>VLOOKUP(A22,'2324 Band Moderations'!$B$5:$S$21,14,(FALSE))</f>
        <v>0.18124999999999999</v>
      </c>
      <c r="I22" s="523">
        <f>VLOOKUP(A22,'2324 Band Moderations'!$B$5:$S$21,16,(FALSE))</f>
        <v>1.8749999999999999E-2</v>
      </c>
      <c r="J22" s="523">
        <f>VLOOKUP(A22,'2324 Band Moderations'!$B$5:$S$21,18,(FALSE))</f>
        <v>0.21249999999999999</v>
      </c>
      <c r="K22" s="162">
        <v>112</v>
      </c>
      <c r="L22" s="524">
        <f t="shared" si="0"/>
        <v>696212.41666666686</v>
      </c>
      <c r="M22" s="524">
        <v>0</v>
      </c>
      <c r="N22" s="524">
        <f t="shared" si="1"/>
        <v>696212.41666666686</v>
      </c>
      <c r="O22" s="525">
        <f t="shared" si="2"/>
        <v>466666.66666666669</v>
      </c>
      <c r="P22" s="525">
        <f>(VLOOKUP(A22,'2324 Funding Detail'!$A$4:$AA$20,25,FALSE)*5/12)*K22</f>
        <v>452672.49470232113</v>
      </c>
      <c r="Q22" s="107" t="s">
        <v>62</v>
      </c>
      <c r="R22" s="65">
        <f t="shared" si="3"/>
        <v>242026.16666666666</v>
      </c>
      <c r="S22" s="88"/>
      <c r="T22" s="619"/>
      <c r="U22" s="619"/>
      <c r="V22" s="610"/>
      <c r="W22" s="610"/>
      <c r="X22" s="610"/>
      <c r="Y22" s="610"/>
      <c r="Z22" s="610"/>
      <c r="AA22" s="610"/>
      <c r="AB22" s="610"/>
      <c r="AC22" s="610"/>
      <c r="AD22" s="610"/>
      <c r="AE22" s="610"/>
      <c r="AF22" s="610"/>
      <c r="AG22" s="610"/>
      <c r="AH22" s="15"/>
      <c r="AI22" s="15"/>
      <c r="AJ22" s="15"/>
      <c r="AK22" s="15"/>
      <c r="AL22" s="15"/>
      <c r="AM22" s="15"/>
      <c r="AN22" s="15"/>
      <c r="AO22" s="15"/>
      <c r="AP22" s="15"/>
      <c r="AQ22" s="15"/>
      <c r="AR22" s="15"/>
      <c r="AS22" s="15"/>
      <c r="AT22" s="15"/>
      <c r="AU22" s="15"/>
      <c r="AV22" s="15"/>
      <c r="AW22" s="15"/>
      <c r="AX22" s="15"/>
      <c r="AY22" s="15"/>
      <c r="AZ22" s="15"/>
      <c r="BA22" s="15"/>
      <c r="BB22" s="15"/>
      <c r="BC22" s="15"/>
      <c r="BD22" s="15"/>
    </row>
    <row r="23" spans="1:56" x14ac:dyDescent="0.25">
      <c r="A23" s="78"/>
      <c r="B23" s="15"/>
      <c r="C23" s="64"/>
      <c r="D23" s="87"/>
      <c r="E23" s="87"/>
      <c r="F23" s="15"/>
      <c r="G23" s="87"/>
      <c r="H23" s="87"/>
      <c r="I23" s="87"/>
      <c r="J23" s="87"/>
      <c r="K23" s="87"/>
      <c r="L23" s="88"/>
      <c r="M23" s="15"/>
      <c r="N23" s="65"/>
      <c r="O23" s="65"/>
      <c r="P23" s="65"/>
      <c r="Q23" s="107" t="s">
        <v>62</v>
      </c>
      <c r="R23" s="88"/>
      <c r="S23" s="88"/>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row>
    <row r="24" spans="1:56" ht="13" x14ac:dyDescent="0.3">
      <c r="A24" s="34" t="s">
        <v>736</v>
      </c>
      <c r="B24" s="15"/>
      <c r="C24" s="64"/>
      <c r="D24" s="87"/>
      <c r="E24" s="87"/>
      <c r="F24" s="87"/>
      <c r="G24" s="87"/>
      <c r="H24" s="87"/>
      <c r="I24" s="87"/>
      <c r="J24" s="87"/>
      <c r="K24" s="88"/>
      <c r="L24" s="88"/>
      <c r="M24" s="107" t="s">
        <v>62</v>
      </c>
      <c r="N24" s="65"/>
      <c r="O24" s="65"/>
      <c r="P24" s="65"/>
      <c r="Q24" s="65"/>
      <c r="R24" s="88"/>
      <c r="S24" s="88"/>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row>
    <row r="25" spans="1:56" x14ac:dyDescent="0.25">
      <c r="A25" s="78"/>
      <c r="B25" s="15"/>
      <c r="C25" s="64"/>
      <c r="D25" s="87"/>
      <c r="E25" s="87"/>
      <c r="F25" s="87"/>
      <c r="G25" s="87"/>
      <c r="H25" s="87"/>
      <c r="I25" s="87"/>
      <c r="J25" s="87"/>
      <c r="K25" s="35" t="s">
        <v>729</v>
      </c>
      <c r="L25" s="88"/>
      <c r="M25" s="88"/>
      <c r="N25" s="65"/>
      <c r="O25" s="1108" t="s">
        <v>77</v>
      </c>
      <c r="P25" s="1109"/>
      <c r="Q25" s="65"/>
      <c r="R25" s="88"/>
      <c r="S25" s="88"/>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row>
    <row r="26" spans="1:56" ht="37.5" x14ac:dyDescent="0.25">
      <c r="A26" s="85" t="s">
        <v>48</v>
      </c>
      <c r="B26" s="67" t="s">
        <v>49</v>
      </c>
      <c r="C26" s="68" t="s">
        <v>50</v>
      </c>
      <c r="D26" s="64" t="s">
        <v>280</v>
      </c>
      <c r="E26" s="64" t="s">
        <v>281</v>
      </c>
      <c r="F26" s="64" t="s">
        <v>282</v>
      </c>
      <c r="G26" s="64" t="s">
        <v>283</v>
      </c>
      <c r="H26" s="64" t="s">
        <v>284</v>
      </c>
      <c r="I26" s="64" t="s">
        <v>285</v>
      </c>
      <c r="J26" s="64" t="s">
        <v>286</v>
      </c>
      <c r="K26" s="73" t="s">
        <v>88</v>
      </c>
      <c r="L26" s="73" t="s">
        <v>89</v>
      </c>
      <c r="M26" s="73" t="s">
        <v>90</v>
      </c>
      <c r="N26" s="73" t="s">
        <v>89</v>
      </c>
      <c r="O26" s="91" t="s">
        <v>91</v>
      </c>
      <c r="P26" s="110" t="s">
        <v>92</v>
      </c>
      <c r="Q26" s="73"/>
      <c r="R26" s="73"/>
      <c r="S26" s="91"/>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row>
    <row r="27" spans="1:56" x14ac:dyDescent="0.25">
      <c r="A27" s="74">
        <v>9257010</v>
      </c>
      <c r="B27" s="67" t="s">
        <v>439</v>
      </c>
      <c r="C27" s="121">
        <v>5</v>
      </c>
      <c r="D27" s="523">
        <f>VLOOKUP(A27,'2324 Band Moderations'!$B$5:$S$21,6,(FALSE))</f>
        <v>0.10738255033557047</v>
      </c>
      <c r="E27" s="523">
        <f>VLOOKUP(A27,'2324 Band Moderations'!$B$5:$S$21,8,(FALSE))</f>
        <v>0.44966442953020136</v>
      </c>
      <c r="F27" s="523">
        <f>VLOOKUP(A27,'2324 Band Moderations'!$B$5:$S$21,10,(FALSE))</f>
        <v>6.0402684563758392E-2</v>
      </c>
      <c r="G27" s="523">
        <f>VLOOKUP(A27,'2324 Band Moderations'!$B$5:$S$21,12,(FALSE))</f>
        <v>0.16107382550335569</v>
      </c>
      <c r="H27" s="523">
        <f>VLOOKUP(A27,'2324 Band Moderations'!$B$5:$S$21,14,(FALSE))</f>
        <v>7.3825503355704702E-2</v>
      </c>
      <c r="I27" s="523">
        <f>VLOOKUP(A27,'2324 Band Moderations'!$B$5:$S$21,16,(FALSE))</f>
        <v>6.7114093959731544E-2</v>
      </c>
      <c r="J27" s="523">
        <f>VLOOKUP(A27,'2324 Band Moderations'!$B$5:$S$21,18,(FALSE))</f>
        <v>8.0536912751677847E-2</v>
      </c>
      <c r="K27" s="162">
        <v>12</v>
      </c>
      <c r="L27" s="524">
        <f t="shared" ref="L27:L43" si="4">((((K27*D27)*$G$88)+((K27*E27)*$G$90)+((K27*F27)*$G$92)+((K27*G27)*$G$94)+((K27*H27)*$G$96)+((K27*I27)*$G$98)+((K27*J27)*$G$100))*(4/12))</f>
        <v>48170.550335570457</v>
      </c>
      <c r="M27" s="524">
        <v>0</v>
      </c>
      <c r="N27" s="524">
        <f>SUM(L27:M27)</f>
        <v>48170.550335570457</v>
      </c>
      <c r="O27" s="525">
        <f>(K27*(4/12))*10000</f>
        <v>40000</v>
      </c>
      <c r="P27" s="525">
        <f>(VLOOKUP(A27,'2324 Funding Detail'!$A$4:$AA$20,25,FALSE)*4/12)*K27</f>
        <v>27861.971623537611</v>
      </c>
      <c r="Q27" s="65"/>
      <c r="R27" s="65">
        <f t="shared" ref="R27:R43" si="5">(J27*K27*$G$100)*4/12</f>
        <v>7862.3355704697979</v>
      </c>
      <c r="S27" s="88"/>
      <c r="T27" s="65"/>
      <c r="U27" s="65"/>
      <c r="V27" s="105"/>
      <c r="W27" s="104"/>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row>
    <row r="28" spans="1:56" x14ac:dyDescent="0.25">
      <c r="A28" s="74">
        <v>9257005</v>
      </c>
      <c r="B28" s="67" t="s">
        <v>63</v>
      </c>
      <c r="C28" s="121">
        <v>4</v>
      </c>
      <c r="D28" s="523">
        <f>VLOOKUP(A28,'2324 Band Moderations'!$B$5:$S$21,6,(FALSE))</f>
        <v>8.4507042253521125E-2</v>
      </c>
      <c r="E28" s="523">
        <f>VLOOKUP(A28,'2324 Band Moderations'!$B$5:$S$21,8,(FALSE))</f>
        <v>0.352112676056338</v>
      </c>
      <c r="F28" s="523">
        <f>VLOOKUP(A28,'2324 Band Moderations'!$B$5:$S$21,10,(FALSE))</f>
        <v>8.4507042253521125E-2</v>
      </c>
      <c r="G28" s="523">
        <f>VLOOKUP(A28,'2324 Band Moderations'!$B$5:$S$21,12,(FALSE))</f>
        <v>0.12676056338028169</v>
      </c>
      <c r="H28" s="523">
        <f>VLOOKUP(A28,'2324 Band Moderations'!$B$5:$S$21,14,(FALSE))</f>
        <v>0.11267605633802817</v>
      </c>
      <c r="I28" s="523">
        <f>VLOOKUP(A28,'2324 Band Moderations'!$B$5:$S$21,16,(FALSE))</f>
        <v>0.16901408450704225</v>
      </c>
      <c r="J28" s="523">
        <f>VLOOKUP(A28,'2324 Band Moderations'!$B$5:$S$21,18,(FALSE))</f>
        <v>7.0422535211267609E-2</v>
      </c>
      <c r="K28" s="162">
        <v>31</v>
      </c>
      <c r="L28" s="524">
        <f t="shared" si="4"/>
        <v>134907.05164319248</v>
      </c>
      <c r="M28" s="524">
        <v>0</v>
      </c>
      <c r="N28" s="524">
        <f>SUM(L28:M28)</f>
        <v>134907.05164319248</v>
      </c>
      <c r="O28" s="525">
        <f>(K28*(4/12))*10000</f>
        <v>103333.33333333333</v>
      </c>
      <c r="P28" s="525">
        <f>(VLOOKUP(A28,'2324 Funding Detail'!$A$4:$AA$20,25,FALSE)*4/12)*K28</f>
        <v>99822.825937863337</v>
      </c>
      <c r="Q28" s="65"/>
      <c r="R28" s="65">
        <f t="shared" si="5"/>
        <v>17760.234741784039</v>
      </c>
      <c r="S28" s="88"/>
      <c r="T28" s="65"/>
      <c r="U28" s="65"/>
      <c r="V28" s="6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row>
    <row r="29" spans="1:56" x14ac:dyDescent="0.25">
      <c r="A29" s="74">
        <v>9257025</v>
      </c>
      <c r="B29" s="67" t="s">
        <v>64</v>
      </c>
      <c r="C29" s="121">
        <v>4</v>
      </c>
      <c r="D29" s="523">
        <f>VLOOKUP(A29,'2324 Band Moderations'!$B$5:$S$21,6,(FALSE))</f>
        <v>0.13333333333333333</v>
      </c>
      <c r="E29" s="523">
        <f>VLOOKUP(A29,'2324 Band Moderations'!$B$5:$S$21,8,(FALSE))</f>
        <v>0.53333333333333333</v>
      </c>
      <c r="F29" s="523">
        <f>VLOOKUP(A29,'2324 Band Moderations'!$B$5:$S$21,10,(FALSE))</f>
        <v>4.4444444444444446E-2</v>
      </c>
      <c r="G29" s="523">
        <f>VLOOKUP(A29,'2324 Band Moderations'!$B$5:$S$21,12,(FALSE))</f>
        <v>0.1111111111111111</v>
      </c>
      <c r="H29" s="523">
        <f>VLOOKUP(A29,'2324 Band Moderations'!$B$5:$S$21,14,(FALSE))</f>
        <v>1.1111111111111112E-2</v>
      </c>
      <c r="I29" s="523">
        <f>VLOOKUP(A29,'2324 Band Moderations'!$B$5:$S$21,16,(FALSE))</f>
        <v>0.12222222222222222</v>
      </c>
      <c r="J29" s="523">
        <f>VLOOKUP(A29,'2324 Band Moderations'!$B$5:$S$21,18,(FALSE))</f>
        <v>4.4444444444444446E-2</v>
      </c>
      <c r="K29" s="162">
        <v>24</v>
      </c>
      <c r="L29" s="524">
        <f t="shared" si="4"/>
        <v>87144.35555555555</v>
      </c>
      <c r="M29" s="524">
        <v>0</v>
      </c>
      <c r="N29" s="524">
        <f t="shared" ref="N29:N43" si="6">SUM(L29:M29)</f>
        <v>87144.35555555555</v>
      </c>
      <c r="O29" s="525">
        <f t="shared" ref="O29:O43" si="7">(K29*(4/12))*10000</f>
        <v>80000</v>
      </c>
      <c r="P29" s="525">
        <f>(VLOOKUP(A29,'2324 Funding Detail'!$A$4:$AA$20,25,FALSE)*4/12)*K29</f>
        <v>52514.64718873924</v>
      </c>
      <c r="Q29" s="65"/>
      <c r="R29" s="65">
        <f t="shared" si="5"/>
        <v>8677.688888888888</v>
      </c>
      <c r="S29" s="88"/>
      <c r="T29" s="65"/>
      <c r="U29" s="65"/>
      <c r="V29" s="6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1:56" x14ac:dyDescent="0.25">
      <c r="A30" s="74">
        <v>9257024</v>
      </c>
      <c r="B30" s="67" t="s">
        <v>66</v>
      </c>
      <c r="C30" s="121">
        <v>4</v>
      </c>
      <c r="D30" s="523">
        <f>VLOOKUP(A30,'2324 Band Moderations'!$B$5:$S$21,6,(FALSE))</f>
        <v>8.2352941176470587E-2</v>
      </c>
      <c r="E30" s="523">
        <f>VLOOKUP(A30,'2324 Band Moderations'!$B$5:$S$21,8,(FALSE))</f>
        <v>0.54117647058823526</v>
      </c>
      <c r="F30" s="523">
        <f>VLOOKUP(A30,'2324 Band Moderations'!$B$5:$S$21,10,(FALSE))</f>
        <v>1.1764705882352941E-2</v>
      </c>
      <c r="G30" s="523">
        <f>VLOOKUP(A30,'2324 Band Moderations'!$B$5:$S$21,12,(FALSE))</f>
        <v>0.17647058823529413</v>
      </c>
      <c r="H30" s="523">
        <f>VLOOKUP(A30,'2324 Band Moderations'!$B$5:$S$21,14,(FALSE))</f>
        <v>7.0588235294117646E-2</v>
      </c>
      <c r="I30" s="523">
        <f>VLOOKUP(A30,'2324 Band Moderations'!$B$5:$S$21,16,(FALSE))</f>
        <v>4.7058823529411764E-2</v>
      </c>
      <c r="J30" s="523">
        <f>VLOOKUP(A30,'2324 Band Moderations'!$B$5:$S$21,18,(FALSE))</f>
        <v>7.0588235294117646E-2</v>
      </c>
      <c r="K30" s="162">
        <v>13</v>
      </c>
      <c r="L30" s="524">
        <f t="shared" si="4"/>
        <v>49621.305882352935</v>
      </c>
      <c r="M30" s="524">
        <v>0</v>
      </c>
      <c r="N30" s="524">
        <f t="shared" si="6"/>
        <v>49621.305882352935</v>
      </c>
      <c r="O30" s="525">
        <f t="shared" si="7"/>
        <v>43333.333333333328</v>
      </c>
      <c r="P30" s="525">
        <f>(VLOOKUP(A30,'2324 Funding Detail'!$A$4:$AA$20,25,FALSE)*4/12)*K30</f>
        <v>31444.744224789596</v>
      </c>
      <c r="Q30" s="65"/>
      <c r="R30" s="65">
        <f t="shared" si="5"/>
        <v>7465.3647058823526</v>
      </c>
      <c r="S30" s="88"/>
      <c r="T30" s="65"/>
      <c r="U30" s="65"/>
      <c r="V30" s="6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1:56" x14ac:dyDescent="0.25">
      <c r="A31" s="74">
        <v>9257031</v>
      </c>
      <c r="B31" s="67" t="s">
        <v>84</v>
      </c>
      <c r="C31" s="121">
        <v>5</v>
      </c>
      <c r="D31" s="523">
        <f>VLOOKUP(A31,'2324 Band Moderations'!$B$5:$S$21,6,(FALSE))</f>
        <v>0</v>
      </c>
      <c r="E31" s="523">
        <f>VLOOKUP(A31,'2324 Band Moderations'!$B$5:$S$21,8,(FALSE))</f>
        <v>0</v>
      </c>
      <c r="F31" s="523">
        <f>VLOOKUP(A31,'2324 Band Moderations'!$B$5:$S$21,10,(FALSE))</f>
        <v>1</v>
      </c>
      <c r="G31" s="523">
        <f>VLOOKUP(A31,'2324 Band Moderations'!$B$5:$S$21,12,(FALSE))</f>
        <v>0</v>
      </c>
      <c r="H31" s="523">
        <f>VLOOKUP(A31,'2324 Band Moderations'!$B$5:$S$21,14,(FALSE))</f>
        <v>0</v>
      </c>
      <c r="I31" s="523">
        <f>VLOOKUP(A31,'2324 Band Moderations'!$B$5:$S$21,16,(FALSE))</f>
        <v>0</v>
      </c>
      <c r="J31" s="523">
        <f>VLOOKUP(A31,'2324 Band Moderations'!$B$5:$S$21,18,(FALSE))</f>
        <v>0</v>
      </c>
      <c r="K31" s="162">
        <v>0</v>
      </c>
      <c r="L31" s="524">
        <f t="shared" si="4"/>
        <v>0</v>
      </c>
      <c r="M31" s="524">
        <v>0</v>
      </c>
      <c r="N31" s="524">
        <f t="shared" si="6"/>
        <v>0</v>
      </c>
      <c r="O31" s="525">
        <f t="shared" si="7"/>
        <v>0</v>
      </c>
      <c r="P31" s="525">
        <f>(VLOOKUP(A31,'2324 Funding Detail'!$A$4:$AA$20,25,FALSE)*4/12)*K31</f>
        <v>0</v>
      </c>
      <c r="Q31" s="65"/>
      <c r="R31" s="65">
        <f t="shared" si="5"/>
        <v>0</v>
      </c>
      <c r="S31" s="88"/>
      <c r="T31" s="65"/>
      <c r="U31" s="65"/>
      <c r="V31" s="6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1:56" x14ac:dyDescent="0.25">
      <c r="A32" s="74">
        <v>9257033</v>
      </c>
      <c r="B32" s="67" t="s">
        <v>74</v>
      </c>
      <c r="C32" s="121" t="s">
        <v>451</v>
      </c>
      <c r="D32" s="523">
        <f>VLOOKUP(A32,'2324 Band Moderations'!$B$5:$S$21,6,(FALSE))</f>
        <v>0.13513513513513514</v>
      </c>
      <c r="E32" s="523">
        <f>VLOOKUP(A32,'2324 Band Moderations'!$B$5:$S$21,8,(FALSE))</f>
        <v>0.67567567567567566</v>
      </c>
      <c r="F32" s="523">
        <f>VLOOKUP(A32,'2324 Band Moderations'!$B$5:$S$21,10,(FALSE))</f>
        <v>9.0090090090090089E-3</v>
      </c>
      <c r="G32" s="523">
        <f>VLOOKUP(A32,'2324 Band Moderations'!$B$5:$S$21,12,(FALSE))</f>
        <v>9.0090090090090086E-2</v>
      </c>
      <c r="H32" s="523">
        <f>VLOOKUP(A32,'2324 Band Moderations'!$B$5:$S$21,14,(FALSE))</f>
        <v>4.5045045045045043E-2</v>
      </c>
      <c r="I32" s="523">
        <f>VLOOKUP(A32,'2324 Band Moderations'!$B$5:$S$21,16,(FALSE))</f>
        <v>2.7027027027027029E-2</v>
      </c>
      <c r="J32" s="523">
        <f>VLOOKUP(A32,'2324 Band Moderations'!$B$5:$S$21,18,(FALSE))</f>
        <v>1.8018018018018018E-2</v>
      </c>
      <c r="K32" s="162">
        <v>0</v>
      </c>
      <c r="L32" s="524">
        <f t="shared" si="4"/>
        <v>0</v>
      </c>
      <c r="M32" s="524">
        <v>0</v>
      </c>
      <c r="N32" s="524">
        <f t="shared" si="6"/>
        <v>0</v>
      </c>
      <c r="O32" s="525">
        <f t="shared" si="7"/>
        <v>0</v>
      </c>
      <c r="P32" s="525">
        <f>(VLOOKUP(A32,'2324 Funding Detail'!$A$4:$AA$20,25,FALSE)*4/12)*K32</f>
        <v>0</v>
      </c>
      <c r="Q32" s="65"/>
      <c r="R32" s="65">
        <f t="shared" si="5"/>
        <v>0</v>
      </c>
      <c r="S32" s="88"/>
      <c r="T32" s="65"/>
      <c r="U32" s="65"/>
      <c r="V32" s="6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1:56" x14ac:dyDescent="0.25">
      <c r="A33" s="74">
        <v>9257008</v>
      </c>
      <c r="B33" s="67" t="s">
        <v>67</v>
      </c>
      <c r="C33" s="121">
        <v>4</v>
      </c>
      <c r="D33" s="523">
        <f>VLOOKUP(A33,'2324 Band Moderations'!$B$5:$S$21,6,(FALSE))</f>
        <v>0.15841584158415842</v>
      </c>
      <c r="E33" s="523">
        <f>VLOOKUP(A33,'2324 Band Moderations'!$B$5:$S$21,8,(FALSE))</f>
        <v>0.62376237623762376</v>
      </c>
      <c r="F33" s="523">
        <f>VLOOKUP(A33,'2324 Band Moderations'!$B$5:$S$21,10,(FALSE))</f>
        <v>4.9504950495049507E-2</v>
      </c>
      <c r="G33" s="523">
        <f>VLOOKUP(A33,'2324 Band Moderations'!$B$5:$S$21,12,(FALSE))</f>
        <v>0.10891089108910891</v>
      </c>
      <c r="H33" s="523">
        <f>VLOOKUP(A33,'2324 Band Moderations'!$B$5:$S$21,14,(FALSE))</f>
        <v>0</v>
      </c>
      <c r="I33" s="523">
        <f>VLOOKUP(A33,'2324 Band Moderations'!$B$5:$S$21,16,(FALSE))</f>
        <v>5.9405940594059403E-2</v>
      </c>
      <c r="J33" s="523">
        <f>VLOOKUP(A33,'2324 Band Moderations'!$B$5:$S$21,18,(FALSE))</f>
        <v>0</v>
      </c>
      <c r="K33" s="162">
        <v>0</v>
      </c>
      <c r="L33" s="524">
        <f t="shared" si="4"/>
        <v>0</v>
      </c>
      <c r="M33" s="524">
        <v>0</v>
      </c>
      <c r="N33" s="524">
        <f t="shared" si="6"/>
        <v>0</v>
      </c>
      <c r="O33" s="525">
        <f t="shared" si="7"/>
        <v>0</v>
      </c>
      <c r="P33" s="525">
        <f>(VLOOKUP(A33,'2324 Funding Detail'!$A$4:$AA$20,25,FALSE)*4/12)*K33</f>
        <v>0</v>
      </c>
      <c r="Q33" s="65"/>
      <c r="R33" s="65">
        <f t="shared" si="5"/>
        <v>0</v>
      </c>
      <c r="S33" s="88"/>
      <c r="T33" s="65"/>
      <c r="U33" s="65"/>
      <c r="V33" s="6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1:56" x14ac:dyDescent="0.25">
      <c r="A34" s="74">
        <v>9257034</v>
      </c>
      <c r="B34" s="67" t="s">
        <v>75</v>
      </c>
      <c r="C34" s="121" t="s">
        <v>451</v>
      </c>
      <c r="D34" s="523">
        <f>VLOOKUP(A34,'2324 Band Moderations'!$B$5:$S$21,6,(FALSE))</f>
        <v>0.42735042735042733</v>
      </c>
      <c r="E34" s="523">
        <f>VLOOKUP(A34,'2324 Band Moderations'!$B$5:$S$21,8,(FALSE))</f>
        <v>0.3504273504273504</v>
      </c>
      <c r="F34" s="523">
        <f>VLOOKUP(A34,'2324 Band Moderations'!$B$5:$S$21,10,(FALSE))</f>
        <v>9.4017094017094016E-2</v>
      </c>
      <c r="G34" s="523">
        <f>VLOOKUP(A34,'2324 Band Moderations'!$B$5:$S$21,12,(FALSE))</f>
        <v>5.128205128205128E-2</v>
      </c>
      <c r="H34" s="523">
        <f>VLOOKUP(A34,'2324 Band Moderations'!$B$5:$S$21,14,(FALSE))</f>
        <v>2.564102564102564E-2</v>
      </c>
      <c r="I34" s="523">
        <f>VLOOKUP(A34,'2324 Band Moderations'!$B$5:$S$21,16,(FALSE))</f>
        <v>4.2735042735042736E-2</v>
      </c>
      <c r="J34" s="523">
        <f>VLOOKUP(A34,'2324 Band Moderations'!$B$5:$S$21,18,(FALSE))</f>
        <v>8.5470085470085479E-3</v>
      </c>
      <c r="K34" s="162">
        <v>30</v>
      </c>
      <c r="L34" s="524">
        <f t="shared" si="4"/>
        <v>92214.957264957251</v>
      </c>
      <c r="M34" s="524">
        <v>0</v>
      </c>
      <c r="N34" s="524">
        <f t="shared" si="6"/>
        <v>92214.957264957251</v>
      </c>
      <c r="O34" s="525">
        <f t="shared" si="7"/>
        <v>100000</v>
      </c>
      <c r="P34" s="525">
        <f>(VLOOKUP(A34,'2324 Funding Detail'!$A$4:$AA$20,25,FALSE)*4/12)*K34</f>
        <v>40692.863844834901</v>
      </c>
      <c r="Q34" s="65"/>
      <c r="R34" s="65">
        <f t="shared" si="5"/>
        <v>2085.9829059829062</v>
      </c>
      <c r="S34" s="88"/>
      <c r="T34" s="65"/>
      <c r="U34" s="65"/>
      <c r="V34" s="6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1:56" x14ac:dyDescent="0.25">
      <c r="A35" s="74">
        <v>9257002</v>
      </c>
      <c r="B35" s="67" t="s">
        <v>68</v>
      </c>
      <c r="C35" s="121">
        <v>5</v>
      </c>
      <c r="D35" s="523">
        <f>VLOOKUP(A35,'2324 Band Moderations'!$B$5:$S$21,6,(FALSE))</f>
        <v>0.17682926829268292</v>
      </c>
      <c r="E35" s="523">
        <f>VLOOKUP(A35,'2324 Band Moderations'!$B$5:$S$21,8,(FALSE))</f>
        <v>0.51829268292682928</v>
      </c>
      <c r="F35" s="523">
        <f>VLOOKUP(A35,'2324 Band Moderations'!$B$5:$S$21,10,(FALSE))</f>
        <v>0.12804878048780488</v>
      </c>
      <c r="G35" s="523">
        <f>VLOOKUP(A35,'2324 Band Moderations'!$B$5:$S$21,12,(FALSE))</f>
        <v>3.6585365853658534E-2</v>
      </c>
      <c r="H35" s="523">
        <f>VLOOKUP(A35,'2324 Band Moderations'!$B$5:$S$21,14,(FALSE))</f>
        <v>3.048780487804878E-2</v>
      </c>
      <c r="I35" s="523">
        <f>VLOOKUP(A35,'2324 Band Moderations'!$B$5:$S$21,16,(FALSE))</f>
        <v>9.7560975609756101E-2</v>
      </c>
      <c r="J35" s="523">
        <f>VLOOKUP(A35,'2324 Band Moderations'!$B$5:$S$21,18,(FALSE))</f>
        <v>1.2195121951219513E-2</v>
      </c>
      <c r="K35" s="162">
        <v>0</v>
      </c>
      <c r="L35" s="524">
        <f t="shared" si="4"/>
        <v>0</v>
      </c>
      <c r="M35" s="524">
        <v>0</v>
      </c>
      <c r="N35" s="524">
        <f t="shared" si="6"/>
        <v>0</v>
      </c>
      <c r="O35" s="525">
        <f t="shared" si="7"/>
        <v>0</v>
      </c>
      <c r="P35" s="525">
        <f>(VLOOKUP(A35,'2324 Funding Detail'!$A$4:$AA$20,25,FALSE)*4/12)*K35</f>
        <v>0</v>
      </c>
      <c r="Q35" s="65"/>
      <c r="R35" s="65">
        <f t="shared" si="5"/>
        <v>0</v>
      </c>
      <c r="S35" s="88"/>
      <c r="T35" s="65"/>
      <c r="U35" s="65"/>
      <c r="V35" s="6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row>
    <row r="36" spans="1:56" x14ac:dyDescent="0.25">
      <c r="A36" s="74">
        <v>9257009</v>
      </c>
      <c r="B36" s="67" t="s">
        <v>334</v>
      </c>
      <c r="C36" s="121" t="s">
        <v>451</v>
      </c>
      <c r="D36" s="523">
        <f>VLOOKUP(A36,'2324 Band Moderations'!$B$5:$S$21,6,(FALSE))</f>
        <v>0.17258883248730963</v>
      </c>
      <c r="E36" s="523">
        <f>VLOOKUP(A36,'2324 Band Moderations'!$B$5:$S$21,8,(FALSE))</f>
        <v>0.50761421319796951</v>
      </c>
      <c r="F36" s="523">
        <f>VLOOKUP(A36,'2324 Band Moderations'!$B$5:$S$21,10,(FALSE))</f>
        <v>6.5989847715736044E-2</v>
      </c>
      <c r="G36" s="523">
        <f>VLOOKUP(A36,'2324 Band Moderations'!$B$5:$S$21,12,(FALSE))</f>
        <v>8.1218274111675121E-2</v>
      </c>
      <c r="H36" s="523">
        <f>VLOOKUP(A36,'2324 Band Moderations'!$B$5:$S$21,14,(FALSE))</f>
        <v>3.553299492385787E-2</v>
      </c>
      <c r="I36" s="523">
        <f>VLOOKUP(A36,'2324 Band Moderations'!$B$5:$S$21,16,(FALSE))</f>
        <v>8.6294416243654817E-2</v>
      </c>
      <c r="J36" s="523">
        <f>VLOOKUP(A36,'2324 Band Moderations'!$B$5:$S$21,18,(FALSE))</f>
        <v>5.0761421319796954E-2</v>
      </c>
      <c r="K36" s="162">
        <v>11</v>
      </c>
      <c r="L36" s="524">
        <f t="shared" si="4"/>
        <v>39385.453468697116</v>
      </c>
      <c r="M36" s="524">
        <v>0</v>
      </c>
      <c r="N36" s="524">
        <f t="shared" si="6"/>
        <v>39385.453468697116</v>
      </c>
      <c r="O36" s="525">
        <f t="shared" si="7"/>
        <v>36666.666666666664</v>
      </c>
      <c r="P36" s="525">
        <f>(VLOOKUP(A36,'2324 Funding Detail'!$A$4:$AA$20,25,FALSE)*4/12)*K36</f>
        <v>17313.940067682397</v>
      </c>
      <c r="Q36" s="65"/>
      <c r="R36" s="65">
        <f t="shared" si="5"/>
        <v>4542.5719120135363</v>
      </c>
      <c r="S36" s="88"/>
      <c r="T36" s="65"/>
      <c r="U36" s="65"/>
      <c r="V36" s="6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row>
    <row r="37" spans="1:56" x14ac:dyDescent="0.25">
      <c r="A37" s="74">
        <v>9257029</v>
      </c>
      <c r="B37" s="67" t="s">
        <v>278</v>
      </c>
      <c r="C37" s="121" t="s">
        <v>452</v>
      </c>
      <c r="D37" s="523">
        <f>VLOOKUP(A37,'2324 Band Moderations'!$B$5:$S$21,6,(FALSE))</f>
        <v>0</v>
      </c>
      <c r="E37" s="523">
        <f>VLOOKUP(A37,'2324 Band Moderations'!$B$5:$S$21,8,(FALSE))</f>
        <v>0</v>
      </c>
      <c r="F37" s="523">
        <f>VLOOKUP(A37,'2324 Band Moderations'!$B$5:$S$21,10,(FALSE))</f>
        <v>1</v>
      </c>
      <c r="G37" s="523">
        <f>VLOOKUP(A37,'2324 Band Moderations'!$B$5:$S$21,12,(FALSE))</f>
        <v>0</v>
      </c>
      <c r="H37" s="523">
        <f>VLOOKUP(A37,'2324 Band Moderations'!$B$5:$S$21,14,(FALSE))</f>
        <v>0</v>
      </c>
      <c r="I37" s="523">
        <f>VLOOKUP(A37,'2324 Band Moderations'!$B$5:$S$21,16,(FALSE))</f>
        <v>0</v>
      </c>
      <c r="J37" s="523">
        <f>VLOOKUP(A37,'2324 Band Moderations'!$B$5:$S$21,18,(FALSE))</f>
        <v>0</v>
      </c>
      <c r="K37" s="162">
        <v>0</v>
      </c>
      <c r="L37" s="524">
        <f t="shared" si="4"/>
        <v>0</v>
      </c>
      <c r="M37" s="524">
        <v>0</v>
      </c>
      <c r="N37" s="524">
        <f t="shared" si="6"/>
        <v>0</v>
      </c>
      <c r="O37" s="525">
        <f t="shared" si="7"/>
        <v>0</v>
      </c>
      <c r="P37" s="525">
        <f>(VLOOKUP(A37,'2324 Funding Detail'!$A$4:$AA$20,25,FALSE)*4/12)*K37</f>
        <v>0</v>
      </c>
      <c r="Q37" s="65"/>
      <c r="R37" s="65">
        <f t="shared" si="5"/>
        <v>0</v>
      </c>
      <c r="S37" s="88"/>
      <c r="T37" s="65"/>
      <c r="U37" s="65"/>
      <c r="V37" s="6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row>
    <row r="38" spans="1:56" x14ac:dyDescent="0.25">
      <c r="A38" s="74">
        <v>9257032</v>
      </c>
      <c r="B38" s="67" t="s">
        <v>380</v>
      </c>
      <c r="C38" s="121" t="s">
        <v>452</v>
      </c>
      <c r="D38" s="523">
        <f>VLOOKUP(A38,'2324 Band Moderations'!$B$5:$S$21,6,(FALSE))</f>
        <v>0</v>
      </c>
      <c r="E38" s="523">
        <f>VLOOKUP(A38,'2324 Band Moderations'!$B$5:$S$21,8,(FALSE))</f>
        <v>0</v>
      </c>
      <c r="F38" s="523">
        <f>VLOOKUP(A38,'2324 Band Moderations'!$B$5:$S$21,10,(FALSE))</f>
        <v>1</v>
      </c>
      <c r="G38" s="523">
        <f>VLOOKUP(A38,'2324 Band Moderations'!$B$5:$S$21,12,(FALSE))</f>
        <v>0</v>
      </c>
      <c r="H38" s="523">
        <f>VLOOKUP(A38,'2324 Band Moderations'!$B$5:$S$21,14,(FALSE))</f>
        <v>0</v>
      </c>
      <c r="I38" s="523">
        <f>VLOOKUP(A38,'2324 Band Moderations'!$B$5:$S$21,16,(FALSE))</f>
        <v>0</v>
      </c>
      <c r="J38" s="523">
        <f>VLOOKUP(A38,'2324 Band Moderations'!$B$5:$S$21,18,(FALSE))</f>
        <v>0</v>
      </c>
      <c r="K38" s="162">
        <v>0</v>
      </c>
      <c r="L38" s="524">
        <f t="shared" si="4"/>
        <v>0</v>
      </c>
      <c r="M38" s="524">
        <v>0</v>
      </c>
      <c r="N38" s="524">
        <f t="shared" si="6"/>
        <v>0</v>
      </c>
      <c r="O38" s="525">
        <f t="shared" si="7"/>
        <v>0</v>
      </c>
      <c r="P38" s="525">
        <f>(VLOOKUP(A38,'2324 Funding Detail'!$A$4:$AA$20,25,FALSE)*4/12)*K38</f>
        <v>0</v>
      </c>
      <c r="Q38" s="65"/>
      <c r="R38" s="65">
        <f t="shared" si="5"/>
        <v>0</v>
      </c>
      <c r="S38" s="88"/>
      <c r="T38" s="65"/>
      <c r="U38" s="65"/>
      <c r="V38" s="6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row>
    <row r="39" spans="1:56" x14ac:dyDescent="0.25">
      <c r="A39" s="74">
        <v>9257030</v>
      </c>
      <c r="B39" s="67" t="s">
        <v>383</v>
      </c>
      <c r="C39" s="121" t="s">
        <v>452</v>
      </c>
      <c r="D39" s="523">
        <f>VLOOKUP(A39,'2324 Band Moderations'!$B$5:$S$21,6,(FALSE))</f>
        <v>0</v>
      </c>
      <c r="E39" s="523">
        <f>VLOOKUP(A39,'2324 Band Moderations'!$B$5:$S$21,8,(FALSE))</f>
        <v>0</v>
      </c>
      <c r="F39" s="523">
        <f>VLOOKUP(A39,'2324 Band Moderations'!$B$5:$S$21,10,(FALSE))</f>
        <v>1</v>
      </c>
      <c r="G39" s="523">
        <f>VLOOKUP(A39,'2324 Band Moderations'!$B$5:$S$21,12,(FALSE))</f>
        <v>0</v>
      </c>
      <c r="H39" s="523">
        <f>VLOOKUP(A39,'2324 Band Moderations'!$B$5:$S$21,14,(FALSE))</f>
        <v>0</v>
      </c>
      <c r="I39" s="523">
        <f>VLOOKUP(A39,'2324 Band Moderations'!$B$5:$S$21,16,(FALSE))</f>
        <v>0</v>
      </c>
      <c r="J39" s="523">
        <f>VLOOKUP(A39,'2324 Band Moderations'!$B$5:$S$21,18,(FALSE))</f>
        <v>0</v>
      </c>
      <c r="K39" s="162">
        <v>0</v>
      </c>
      <c r="L39" s="524">
        <f t="shared" si="4"/>
        <v>0</v>
      </c>
      <c r="M39" s="524">
        <v>0</v>
      </c>
      <c r="N39" s="524">
        <f t="shared" si="6"/>
        <v>0</v>
      </c>
      <c r="O39" s="525">
        <f t="shared" si="7"/>
        <v>0</v>
      </c>
      <c r="P39" s="525">
        <f>(VLOOKUP(A39,'2324 Funding Detail'!$A$4:$AA$20,25,FALSE)*4/12)*K39</f>
        <v>0</v>
      </c>
      <c r="Q39" s="65"/>
      <c r="R39" s="65">
        <f t="shared" si="5"/>
        <v>0</v>
      </c>
      <c r="S39" s="88"/>
      <c r="T39" s="65"/>
      <c r="U39" s="65"/>
      <c r="V39" s="6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row>
    <row r="40" spans="1:56" x14ac:dyDescent="0.25">
      <c r="A40" s="74">
        <v>9257028</v>
      </c>
      <c r="B40" s="67" t="s">
        <v>70</v>
      </c>
      <c r="C40" s="121">
        <v>5</v>
      </c>
      <c r="D40" s="523">
        <f>VLOOKUP(A40,'2324 Band Moderations'!$B$5:$S$21,6,(FALSE))</f>
        <v>9.0163934426229511E-2</v>
      </c>
      <c r="E40" s="523">
        <f>VLOOKUP(A40,'2324 Band Moderations'!$B$5:$S$21,8,(FALSE))</f>
        <v>0.45901639344262296</v>
      </c>
      <c r="F40" s="523">
        <f>VLOOKUP(A40,'2324 Band Moderations'!$B$5:$S$21,10,(FALSE))</f>
        <v>6.5573770491803282E-2</v>
      </c>
      <c r="G40" s="523">
        <f>VLOOKUP(A40,'2324 Band Moderations'!$B$5:$S$21,12,(FALSE))</f>
        <v>8.1967213114754092E-2</v>
      </c>
      <c r="H40" s="523">
        <f>VLOOKUP(A40,'2324 Band Moderations'!$B$5:$S$21,14,(FALSE))</f>
        <v>9.0163934426229511E-2</v>
      </c>
      <c r="I40" s="523">
        <f>VLOOKUP(A40,'2324 Band Moderations'!$B$5:$S$21,16,(FALSE))</f>
        <v>6.5573770491803282E-2</v>
      </c>
      <c r="J40" s="523">
        <f>VLOOKUP(A40,'2324 Band Moderations'!$B$5:$S$21,18,(FALSE))</f>
        <v>0.14754098360655737</v>
      </c>
      <c r="K40" s="162">
        <v>9</v>
      </c>
      <c r="L40" s="524">
        <f t="shared" si="4"/>
        <v>38083.131147540982</v>
      </c>
      <c r="M40" s="524">
        <v>0</v>
      </c>
      <c r="N40" s="524">
        <f t="shared" si="6"/>
        <v>38083.131147540982</v>
      </c>
      <c r="O40" s="525">
        <f t="shared" si="7"/>
        <v>30000</v>
      </c>
      <c r="P40" s="525">
        <f>(VLOOKUP(A40,'2324 Funding Detail'!$A$4:$AA$20,25,FALSE)*4/12)*K40</f>
        <v>22633.18667638714</v>
      </c>
      <c r="Q40" s="65"/>
      <c r="R40" s="65">
        <f t="shared" si="5"/>
        <v>10802.655737704918</v>
      </c>
      <c r="S40" s="88"/>
      <c r="T40" s="65"/>
      <c r="U40" s="65"/>
      <c r="V40" s="6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row>
    <row r="41" spans="1:56" x14ac:dyDescent="0.25">
      <c r="A41" s="74">
        <v>9257021</v>
      </c>
      <c r="B41" s="67" t="s">
        <v>71</v>
      </c>
      <c r="C41" s="121" t="s">
        <v>453</v>
      </c>
      <c r="D41" s="523">
        <f>VLOOKUP(A41,'2324 Band Moderations'!$B$5:$S$21,6,(FALSE))</f>
        <v>0.21176470588235294</v>
      </c>
      <c r="E41" s="523">
        <f>VLOOKUP(A41,'2324 Band Moderations'!$B$5:$S$21,8,(FALSE))</f>
        <v>0.52352941176470591</v>
      </c>
      <c r="F41" s="523">
        <f>VLOOKUP(A41,'2324 Band Moderations'!$B$5:$S$21,10,(FALSE))</f>
        <v>0.10588235294117647</v>
      </c>
      <c r="G41" s="523">
        <f>VLOOKUP(A41,'2324 Band Moderations'!$B$5:$S$21,12,(FALSE))</f>
        <v>7.0588235294117646E-2</v>
      </c>
      <c r="H41" s="523">
        <f>VLOOKUP(A41,'2324 Band Moderations'!$B$5:$S$21,14,(FALSE))</f>
        <v>2.9411764705882353E-2</v>
      </c>
      <c r="I41" s="523">
        <f>VLOOKUP(A41,'2324 Band Moderations'!$B$5:$S$21,16,(FALSE))</f>
        <v>4.7058823529411764E-2</v>
      </c>
      <c r="J41" s="523">
        <f>VLOOKUP(A41,'2324 Band Moderations'!$B$5:$S$21,18,(FALSE))</f>
        <v>1.1764705882352941E-2</v>
      </c>
      <c r="K41" s="162">
        <v>0</v>
      </c>
      <c r="L41" s="524">
        <f t="shared" si="4"/>
        <v>0</v>
      </c>
      <c r="M41" s="524">
        <v>0</v>
      </c>
      <c r="N41" s="524">
        <f t="shared" si="6"/>
        <v>0</v>
      </c>
      <c r="O41" s="525">
        <f t="shared" si="7"/>
        <v>0</v>
      </c>
      <c r="P41" s="525">
        <f>(VLOOKUP(A41,'2324 Funding Detail'!$A$4:$AA$20,25,FALSE)*4/12)*K41</f>
        <v>0</v>
      </c>
      <c r="Q41" s="65"/>
      <c r="R41" s="65">
        <f t="shared" si="5"/>
        <v>0</v>
      </c>
      <c r="S41" s="88"/>
      <c r="T41" s="65"/>
      <c r="U41" s="65"/>
      <c r="V41" s="6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1:56" x14ac:dyDescent="0.25">
      <c r="A42" s="74">
        <v>9257015</v>
      </c>
      <c r="B42" s="67" t="s">
        <v>72</v>
      </c>
      <c r="C42" s="121" t="s">
        <v>454</v>
      </c>
      <c r="D42" s="523">
        <f>VLOOKUP(A42,'2324 Band Moderations'!$B$5:$S$21,6,(FALSE))</f>
        <v>0.26991150442477874</v>
      </c>
      <c r="E42" s="523">
        <f>VLOOKUP(A42,'2324 Band Moderations'!$B$5:$S$21,8,(FALSE))</f>
        <v>0.42035398230088494</v>
      </c>
      <c r="F42" s="523">
        <f>VLOOKUP(A42,'2324 Band Moderations'!$B$5:$S$21,10,(FALSE))</f>
        <v>2.2123893805309734E-2</v>
      </c>
      <c r="G42" s="523">
        <f>VLOOKUP(A42,'2324 Band Moderations'!$B$5:$S$21,12,(FALSE))</f>
        <v>8.8495575221238937E-2</v>
      </c>
      <c r="H42" s="523">
        <f>VLOOKUP(A42,'2324 Band Moderations'!$B$5:$S$21,14,(FALSE))</f>
        <v>2.2123893805309734E-2</v>
      </c>
      <c r="I42" s="523">
        <f>VLOOKUP(A42,'2324 Band Moderations'!$B$5:$S$21,16,(FALSE))</f>
        <v>0.15929203539823009</v>
      </c>
      <c r="J42" s="523">
        <f>VLOOKUP(A42,'2324 Band Moderations'!$B$5:$S$21,18,(FALSE))</f>
        <v>1.7699115044247787E-2</v>
      </c>
      <c r="K42" s="162">
        <v>16</v>
      </c>
      <c r="L42" s="524">
        <f t="shared" si="4"/>
        <v>55215.740412979343</v>
      </c>
      <c r="M42" s="524">
        <v>0</v>
      </c>
      <c r="N42" s="524">
        <f t="shared" si="6"/>
        <v>55215.740412979343</v>
      </c>
      <c r="O42" s="525">
        <f t="shared" si="7"/>
        <v>53333.333333333328</v>
      </c>
      <c r="P42" s="525">
        <f>(VLOOKUP(A42,'2324 Funding Detail'!$A$4:$AA$20,25,FALSE)*4/12)*K42</f>
        <v>20742.05999571997</v>
      </c>
      <c r="Q42" s="65"/>
      <c r="R42" s="65">
        <f t="shared" si="5"/>
        <v>2303.8112094395278</v>
      </c>
      <c r="S42" s="88"/>
      <c r="T42" s="65"/>
      <c r="U42" s="65"/>
      <c r="V42" s="6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1:56" x14ac:dyDescent="0.25">
      <c r="A43" s="74">
        <v>9257016</v>
      </c>
      <c r="B43" s="67" t="s">
        <v>73</v>
      </c>
      <c r="C43" s="121" t="s">
        <v>454</v>
      </c>
      <c r="D43" s="523">
        <f>VLOOKUP(A43,'2324 Band Moderations'!$B$5:$S$21,6,(FALSE))</f>
        <v>0.11874999999999999</v>
      </c>
      <c r="E43" s="523">
        <f>VLOOKUP(A43,'2324 Band Moderations'!$B$5:$S$21,8,(FALSE))</f>
        <v>0.21249999999999999</v>
      </c>
      <c r="F43" s="523">
        <f>VLOOKUP(A43,'2324 Band Moderations'!$B$5:$S$21,10,(FALSE))</f>
        <v>1.2500000000000001E-2</v>
      </c>
      <c r="G43" s="523">
        <f>VLOOKUP(A43,'2324 Band Moderations'!$B$5:$S$21,12,(FALSE))</f>
        <v>0.24374999999999999</v>
      </c>
      <c r="H43" s="523">
        <f>VLOOKUP(A43,'2324 Band Moderations'!$B$5:$S$21,14,(FALSE))</f>
        <v>0.18124999999999999</v>
      </c>
      <c r="I43" s="523">
        <f>VLOOKUP(A43,'2324 Band Moderations'!$B$5:$S$21,16,(FALSE))</f>
        <v>1.8749999999999999E-2</v>
      </c>
      <c r="J43" s="523">
        <f>VLOOKUP(A43,'2324 Band Moderations'!$B$5:$S$21,18,(FALSE))</f>
        <v>0.21249999999999999</v>
      </c>
      <c r="K43" s="162">
        <v>54</v>
      </c>
      <c r="L43" s="524">
        <f t="shared" si="4"/>
        <v>268539.07499999995</v>
      </c>
      <c r="M43" s="524">
        <v>0</v>
      </c>
      <c r="N43" s="524">
        <f t="shared" si="6"/>
        <v>268539.07499999995</v>
      </c>
      <c r="O43" s="525">
        <f t="shared" si="7"/>
        <v>180000</v>
      </c>
      <c r="P43" s="525">
        <f>(VLOOKUP(A43,'2324 Funding Detail'!$A$4:$AA$20,25,FALSE)*4/12)*K43</f>
        <v>174602.24795660956</v>
      </c>
      <c r="Q43" s="107" t="s">
        <v>62</v>
      </c>
      <c r="R43" s="65">
        <f t="shared" si="5"/>
        <v>93352.95</v>
      </c>
      <c r="S43" s="88"/>
      <c r="T43" s="65"/>
      <c r="U43" s="65"/>
      <c r="V43" s="6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1:56" x14ac:dyDescent="0.25">
      <c r="A44" s="78"/>
      <c r="B44" s="15"/>
      <c r="C44" s="64"/>
      <c r="D44" s="87"/>
      <c r="E44" s="87"/>
      <c r="F44" s="107" t="s">
        <v>62</v>
      </c>
      <c r="G44" s="87"/>
      <c r="H44" s="87"/>
      <c r="I44" s="87"/>
      <c r="J44" s="107" t="s">
        <v>62</v>
      </c>
      <c r="K44" s="15"/>
      <c r="L44" s="88"/>
      <c r="M44" s="88"/>
      <c r="N44" s="107" t="s">
        <v>62</v>
      </c>
      <c r="O44" s="65"/>
      <c r="P44" s="65"/>
      <c r="Q44" s="65"/>
      <c r="R44" s="88"/>
      <c r="S44" s="88"/>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1:56" ht="13" x14ac:dyDescent="0.3">
      <c r="A45" s="34" t="s">
        <v>737</v>
      </c>
      <c r="B45" s="15"/>
      <c r="C45" s="15"/>
      <c r="D45" s="15"/>
      <c r="E45" s="15"/>
      <c r="F45" s="15"/>
      <c r="G45" s="15"/>
      <c r="H45" s="15"/>
      <c r="I45" s="15"/>
      <c r="J45" s="15"/>
      <c r="K45" s="64"/>
      <c r="L45" s="64"/>
      <c r="M45" s="15"/>
      <c r="N45" s="15"/>
      <c r="O45" s="15"/>
      <c r="P45" s="15"/>
      <c r="Q45" s="15"/>
      <c r="R45" s="64"/>
      <c r="S45" s="100"/>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1:56" x14ac:dyDescent="0.25">
      <c r="A46" s="15"/>
      <c r="B46" s="15"/>
      <c r="C46" s="15"/>
      <c r="D46" s="15"/>
      <c r="E46" s="15"/>
      <c r="F46" s="15"/>
      <c r="G46" s="15"/>
      <c r="H46" s="15"/>
      <c r="I46" s="15"/>
      <c r="J46" s="15"/>
      <c r="K46" s="35" t="s">
        <v>738</v>
      </c>
      <c r="L46" s="64"/>
      <c r="M46" s="15"/>
      <c r="N46" s="15"/>
      <c r="O46" s="1108" t="s">
        <v>77</v>
      </c>
      <c r="P46" s="1109"/>
      <c r="Q46" s="15"/>
      <c r="R46" s="64"/>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ht="39.75" customHeight="1" x14ac:dyDescent="0.25">
      <c r="A47" s="85" t="s">
        <v>48</v>
      </c>
      <c r="B47" s="67" t="s">
        <v>49</v>
      </c>
      <c r="C47" s="68" t="s">
        <v>50</v>
      </c>
      <c r="D47" s="64" t="s">
        <v>280</v>
      </c>
      <c r="E47" s="64" t="s">
        <v>281</v>
      </c>
      <c r="F47" s="64" t="s">
        <v>282</v>
      </c>
      <c r="G47" s="64" t="s">
        <v>283</v>
      </c>
      <c r="H47" s="64" t="s">
        <v>284</v>
      </c>
      <c r="I47" s="64" t="s">
        <v>285</v>
      </c>
      <c r="J47" s="64" t="s">
        <v>286</v>
      </c>
      <c r="K47" s="73" t="s">
        <v>78</v>
      </c>
      <c r="L47" s="73" t="s">
        <v>93</v>
      </c>
      <c r="M47" s="73" t="s">
        <v>94</v>
      </c>
      <c r="N47" s="73" t="s">
        <v>95</v>
      </c>
      <c r="O47" s="92" t="s">
        <v>96</v>
      </c>
      <c r="P47" s="110" t="s">
        <v>97</v>
      </c>
      <c r="Q47" s="15"/>
      <c r="R47" s="64"/>
      <c r="S47" s="100"/>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x14ac:dyDescent="0.25">
      <c r="A48" s="74">
        <v>9257010</v>
      </c>
      <c r="B48" s="67" t="s">
        <v>439</v>
      </c>
      <c r="C48" s="121">
        <v>5</v>
      </c>
      <c r="D48" s="523">
        <f>VLOOKUP(A48,'2324 Band Moderations'!$B$5:$S$21,6,(FALSE))</f>
        <v>0.10738255033557047</v>
      </c>
      <c r="E48" s="523">
        <f>VLOOKUP(A48,'2324 Band Moderations'!$B$5:$S$21,8,(FALSE))</f>
        <v>0.44966442953020136</v>
      </c>
      <c r="F48" s="523">
        <f>VLOOKUP(A48,'2324 Band Moderations'!$B$5:$S$21,10,(FALSE))</f>
        <v>6.0402684563758392E-2</v>
      </c>
      <c r="G48" s="523">
        <f>VLOOKUP(A48,'2324 Band Moderations'!$B$5:$S$21,12,(FALSE))</f>
        <v>0.16107382550335569</v>
      </c>
      <c r="H48" s="523">
        <f>VLOOKUP(A48,'2324 Band Moderations'!$B$5:$S$21,14,(FALSE))</f>
        <v>7.3825503355704702E-2</v>
      </c>
      <c r="I48" s="523">
        <f>VLOOKUP(A48,'2324 Band Moderations'!$B$5:$S$21,16,(FALSE))</f>
        <v>6.7114093959731544E-2</v>
      </c>
      <c r="J48" s="523">
        <f>VLOOKUP(A48,'2324 Band Moderations'!$B$5:$S$21,18,(FALSE))</f>
        <v>8.0536912751677847E-2</v>
      </c>
      <c r="K48" s="162">
        <v>122</v>
      </c>
      <c r="L48" s="524">
        <f t="shared" ref="L48:L64" si="8">((((K48*D48)*$G$88)+((K48*E48)*$G$90)+((K48*F48)*$G$92)+((K48*G48)*$G$94)+((K48*H48)*$G$96)+((K48*I48)*$G$98)+((K48*J48)*$G$100))*(7/12))</f>
        <v>857034.37472035794</v>
      </c>
      <c r="M48" s="524">
        <v>0</v>
      </c>
      <c r="N48" s="524">
        <f t="shared" ref="N48:N64" si="9">SUM(L48:M48)</f>
        <v>857034.37472035794</v>
      </c>
      <c r="O48" s="525">
        <f>(K48*(7/12))*10000</f>
        <v>711666.66666666674</v>
      </c>
      <c r="P48" s="525">
        <f>(VLOOKUP(A48,'2324 Funding Detail'!$A$4:$AA$20,25,FALSE)*7/12)*K48</f>
        <v>495710.91180210671</v>
      </c>
      <c r="Q48" s="65"/>
      <c r="R48" s="65">
        <f t="shared" ref="R48:R64" si="10">(J48*K48*$G$100)*7/12</f>
        <v>139884.05369127516</v>
      </c>
      <c r="S48" s="63"/>
      <c r="T48" s="104"/>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x14ac:dyDescent="0.25">
      <c r="A49" s="74">
        <v>9257005</v>
      </c>
      <c r="B49" s="67" t="s">
        <v>63</v>
      </c>
      <c r="C49" s="121">
        <v>4</v>
      </c>
      <c r="D49" s="523">
        <f>VLOOKUP(A49,'2324 Band Moderations'!$B$5:$S$21,6,(FALSE))</f>
        <v>8.4507042253521125E-2</v>
      </c>
      <c r="E49" s="523">
        <f>VLOOKUP(A49,'2324 Band Moderations'!$B$5:$S$21,8,(FALSE))</f>
        <v>0.352112676056338</v>
      </c>
      <c r="F49" s="523">
        <f>VLOOKUP(A49,'2324 Band Moderations'!$B$5:$S$21,10,(FALSE))</f>
        <v>8.4507042253521125E-2</v>
      </c>
      <c r="G49" s="523">
        <f>VLOOKUP(A49,'2324 Band Moderations'!$B$5:$S$21,12,(FALSE))</f>
        <v>0.12676056338028169</v>
      </c>
      <c r="H49" s="523">
        <f>VLOOKUP(A49,'2324 Band Moderations'!$B$5:$S$21,14,(FALSE))</f>
        <v>0.11267605633802817</v>
      </c>
      <c r="I49" s="523">
        <f>VLOOKUP(A49,'2324 Band Moderations'!$B$5:$S$21,16,(FALSE))</f>
        <v>0.16901408450704225</v>
      </c>
      <c r="J49" s="523">
        <f>VLOOKUP(A49,'2324 Band Moderations'!$B$5:$S$21,18,(FALSE))</f>
        <v>7.0422535211267609E-2</v>
      </c>
      <c r="K49" s="162">
        <v>54</v>
      </c>
      <c r="L49" s="524">
        <f t="shared" si="8"/>
        <v>411248.91549295781</v>
      </c>
      <c r="M49" s="524">
        <v>0</v>
      </c>
      <c r="N49" s="524">
        <f t="shared" si="9"/>
        <v>411248.91549295781</v>
      </c>
      <c r="O49" s="525">
        <f t="shared" ref="O49:O64" si="11">(K49*(7/12))*10000</f>
        <v>315000.00000000006</v>
      </c>
      <c r="P49" s="525">
        <f>(VLOOKUP(A49,'2324 Funding Detail'!$A$4:$AA$20,25,FALSE)*7/12)*K49</f>
        <v>304298.61455251893</v>
      </c>
      <c r="Q49" s="65"/>
      <c r="R49" s="65">
        <f t="shared" si="10"/>
        <v>54140.070422535216</v>
      </c>
      <c r="S49" s="88"/>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x14ac:dyDescent="0.25">
      <c r="A50" s="74">
        <v>9257025</v>
      </c>
      <c r="B50" s="67" t="s">
        <v>64</v>
      </c>
      <c r="C50" s="121">
        <v>4</v>
      </c>
      <c r="D50" s="523">
        <f>VLOOKUP(A50,'2324 Band Moderations'!$B$5:$S$21,6,(FALSE))</f>
        <v>0.13333333333333333</v>
      </c>
      <c r="E50" s="523">
        <f>VLOOKUP(A50,'2324 Band Moderations'!$B$5:$S$21,8,(FALSE))</f>
        <v>0.53333333333333333</v>
      </c>
      <c r="F50" s="523">
        <f>VLOOKUP(A50,'2324 Band Moderations'!$B$5:$S$21,10,(FALSE))</f>
        <v>4.4444444444444446E-2</v>
      </c>
      <c r="G50" s="523">
        <f>VLOOKUP(A50,'2324 Band Moderations'!$B$5:$S$21,12,(FALSE))</f>
        <v>0.1111111111111111</v>
      </c>
      <c r="H50" s="523">
        <f>VLOOKUP(A50,'2324 Band Moderations'!$B$5:$S$21,14,(FALSE))</f>
        <v>1.1111111111111112E-2</v>
      </c>
      <c r="I50" s="523">
        <f>VLOOKUP(A50,'2324 Band Moderations'!$B$5:$S$21,16,(FALSE))</f>
        <v>0.12222222222222222</v>
      </c>
      <c r="J50" s="523">
        <f>VLOOKUP(A50,'2324 Band Moderations'!$B$5:$S$21,18,(FALSE))</f>
        <v>4.4444444444444446E-2</v>
      </c>
      <c r="K50" s="162">
        <v>77</v>
      </c>
      <c r="L50" s="524">
        <f t="shared" si="8"/>
        <v>489279.2462962963</v>
      </c>
      <c r="M50" s="524">
        <v>0</v>
      </c>
      <c r="N50" s="524">
        <f t="shared" si="9"/>
        <v>489279.2462962963</v>
      </c>
      <c r="O50" s="525">
        <f t="shared" si="11"/>
        <v>449166.66666666669</v>
      </c>
      <c r="P50" s="525">
        <f>(VLOOKUP(A50,'2324 Funding Detail'!$A$4:$AA$20,25,FALSE)*7/12)*K50</f>
        <v>294847.8628617755</v>
      </c>
      <c r="Q50" s="65"/>
      <c r="R50" s="65">
        <f t="shared" si="10"/>
        <v>48721.607407407406</v>
      </c>
      <c r="S50" s="88"/>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x14ac:dyDescent="0.25">
      <c r="A51" s="74">
        <v>9257024</v>
      </c>
      <c r="B51" s="67" t="s">
        <v>66</v>
      </c>
      <c r="C51" s="121">
        <v>4</v>
      </c>
      <c r="D51" s="523">
        <f>VLOOKUP(A51,'2324 Band Moderations'!$B$5:$S$21,6,(FALSE))</f>
        <v>8.2352941176470587E-2</v>
      </c>
      <c r="E51" s="523">
        <f>VLOOKUP(A51,'2324 Band Moderations'!$B$5:$S$21,8,(FALSE))</f>
        <v>0.54117647058823526</v>
      </c>
      <c r="F51" s="523">
        <f>VLOOKUP(A51,'2324 Band Moderations'!$B$5:$S$21,10,(FALSE))</f>
        <v>1.1764705882352941E-2</v>
      </c>
      <c r="G51" s="523">
        <f>VLOOKUP(A51,'2324 Band Moderations'!$B$5:$S$21,12,(FALSE))</f>
        <v>0.17647058823529413</v>
      </c>
      <c r="H51" s="523">
        <f>VLOOKUP(A51,'2324 Band Moderations'!$B$5:$S$21,14,(FALSE))</f>
        <v>7.0588235294117646E-2</v>
      </c>
      <c r="I51" s="523">
        <f>VLOOKUP(A51,'2324 Band Moderations'!$B$5:$S$21,16,(FALSE))</f>
        <v>4.7058823529411764E-2</v>
      </c>
      <c r="J51" s="523">
        <f>VLOOKUP(A51,'2324 Band Moderations'!$B$5:$S$21,18,(FALSE))</f>
        <v>7.0588235294117646E-2</v>
      </c>
      <c r="K51" s="162">
        <v>80</v>
      </c>
      <c r="L51" s="524">
        <f t="shared" si="8"/>
        <v>534383.29411764699</v>
      </c>
      <c r="M51" s="524">
        <v>0</v>
      </c>
      <c r="N51" s="524">
        <f t="shared" si="9"/>
        <v>534383.29411764699</v>
      </c>
      <c r="O51" s="525">
        <f t="shared" si="11"/>
        <v>466666.66666666669</v>
      </c>
      <c r="P51" s="525">
        <f>(VLOOKUP(A51,'2324 Funding Detail'!$A$4:$AA$20,25,FALSE)*7/12)*K51</f>
        <v>338635.70703619561</v>
      </c>
      <c r="Q51" s="65"/>
      <c r="R51" s="65">
        <f t="shared" si="10"/>
        <v>80396.23529411765</v>
      </c>
      <c r="S51" s="88"/>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x14ac:dyDescent="0.25">
      <c r="A52" s="74">
        <v>9257031</v>
      </c>
      <c r="B52" s="67" t="s">
        <v>84</v>
      </c>
      <c r="C52" s="121">
        <v>5</v>
      </c>
      <c r="D52" s="523">
        <f>VLOOKUP(A52,'2324 Band Moderations'!$B$5:$S$21,6,(FALSE))</f>
        <v>0</v>
      </c>
      <c r="E52" s="523">
        <f>VLOOKUP(A52,'2324 Band Moderations'!$B$5:$S$21,8,(FALSE))</f>
        <v>0</v>
      </c>
      <c r="F52" s="523">
        <f>VLOOKUP(A52,'2324 Band Moderations'!$B$5:$S$21,10,(FALSE))</f>
        <v>1</v>
      </c>
      <c r="G52" s="523">
        <f>VLOOKUP(A52,'2324 Band Moderations'!$B$5:$S$21,12,(FALSE))</f>
        <v>0</v>
      </c>
      <c r="H52" s="523">
        <f>VLOOKUP(A52,'2324 Band Moderations'!$B$5:$S$21,14,(FALSE))</f>
        <v>0</v>
      </c>
      <c r="I52" s="523">
        <f>VLOOKUP(A52,'2324 Band Moderations'!$B$5:$S$21,16,(FALSE))</f>
        <v>0</v>
      </c>
      <c r="J52" s="523">
        <f>VLOOKUP(A52,'2324 Band Moderations'!$B$5:$S$21,18,(FALSE))</f>
        <v>0</v>
      </c>
      <c r="K52" s="162">
        <v>81</v>
      </c>
      <c r="L52" s="524">
        <f t="shared" si="8"/>
        <v>735540.75</v>
      </c>
      <c r="M52" s="524">
        <v>0</v>
      </c>
      <c r="N52" s="524">
        <f t="shared" si="9"/>
        <v>735540.75</v>
      </c>
      <c r="O52" s="525">
        <f t="shared" si="11"/>
        <v>472500</v>
      </c>
      <c r="P52" s="525">
        <f>(VLOOKUP(A52,'2324 Funding Detail'!$A$4:$AA$20,25,FALSE)*7/12)*K52</f>
        <v>571433.51587383647</v>
      </c>
      <c r="Q52" s="65"/>
      <c r="R52" s="65">
        <f t="shared" si="10"/>
        <v>0</v>
      </c>
      <c r="S52" s="88"/>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x14ac:dyDescent="0.25">
      <c r="A53" s="74">
        <v>9257033</v>
      </c>
      <c r="B53" s="67" t="s">
        <v>74</v>
      </c>
      <c r="C53" s="121" t="s">
        <v>451</v>
      </c>
      <c r="D53" s="523">
        <f>VLOOKUP(A53,'2324 Band Moderations'!$B$5:$S$21,6,(FALSE))</f>
        <v>0.13513513513513514</v>
      </c>
      <c r="E53" s="523">
        <f>VLOOKUP(A53,'2324 Band Moderations'!$B$5:$S$21,8,(FALSE))</f>
        <v>0.67567567567567566</v>
      </c>
      <c r="F53" s="523">
        <f>VLOOKUP(A53,'2324 Band Moderations'!$B$5:$S$21,10,(FALSE))</f>
        <v>9.0090090090090089E-3</v>
      </c>
      <c r="G53" s="523">
        <f>VLOOKUP(A53,'2324 Band Moderations'!$B$5:$S$21,12,(FALSE))</f>
        <v>9.0090090090090086E-2</v>
      </c>
      <c r="H53" s="523">
        <f>VLOOKUP(A53,'2324 Band Moderations'!$B$5:$S$21,14,(FALSE))</f>
        <v>4.5045045045045043E-2</v>
      </c>
      <c r="I53" s="523">
        <f>VLOOKUP(A53,'2324 Band Moderations'!$B$5:$S$21,16,(FALSE))</f>
        <v>2.7027027027027029E-2</v>
      </c>
      <c r="J53" s="523">
        <f>VLOOKUP(A53,'2324 Band Moderations'!$B$5:$S$21,18,(FALSE))</f>
        <v>1.8018018018018018E-2</v>
      </c>
      <c r="K53" s="162">
        <v>115</v>
      </c>
      <c r="L53" s="524">
        <f t="shared" si="8"/>
        <v>631739.46321321314</v>
      </c>
      <c r="M53" s="524">
        <v>0</v>
      </c>
      <c r="N53" s="524">
        <f t="shared" si="9"/>
        <v>631739.46321321314</v>
      </c>
      <c r="O53" s="525">
        <f t="shared" si="11"/>
        <v>670833.33333333337</v>
      </c>
      <c r="P53" s="525">
        <f>(VLOOKUP(A53,'2324 Funding Detail'!$A$4:$AA$20,25,FALSE)*7/12)*K53</f>
        <v>283447.75039270025</v>
      </c>
      <c r="Q53" s="65"/>
      <c r="R53" s="65">
        <f t="shared" si="10"/>
        <v>29499.744744744745</v>
      </c>
      <c r="S53" s="88"/>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x14ac:dyDescent="0.25">
      <c r="A54" s="74">
        <v>9257008</v>
      </c>
      <c r="B54" s="67" t="s">
        <v>67</v>
      </c>
      <c r="C54" s="121">
        <v>4</v>
      </c>
      <c r="D54" s="523">
        <f>VLOOKUP(A54,'2324 Band Moderations'!$B$5:$S$21,6,(FALSE))</f>
        <v>0.15841584158415842</v>
      </c>
      <c r="E54" s="523">
        <f>VLOOKUP(A54,'2324 Band Moderations'!$B$5:$S$21,8,(FALSE))</f>
        <v>0.62376237623762376</v>
      </c>
      <c r="F54" s="523">
        <f>VLOOKUP(A54,'2324 Band Moderations'!$B$5:$S$21,10,(FALSE))</f>
        <v>4.9504950495049507E-2</v>
      </c>
      <c r="G54" s="523">
        <f>VLOOKUP(A54,'2324 Band Moderations'!$B$5:$S$21,12,(FALSE))</f>
        <v>0.10891089108910891</v>
      </c>
      <c r="H54" s="523">
        <f>VLOOKUP(A54,'2324 Band Moderations'!$B$5:$S$21,14,(FALSE))</f>
        <v>0</v>
      </c>
      <c r="I54" s="523">
        <f>VLOOKUP(A54,'2324 Band Moderations'!$B$5:$S$21,16,(FALSE))</f>
        <v>5.9405940594059403E-2</v>
      </c>
      <c r="J54" s="523">
        <f>VLOOKUP(A54,'2324 Band Moderations'!$B$5:$S$21,18,(FALSE))</f>
        <v>0</v>
      </c>
      <c r="K54" s="162">
        <v>101</v>
      </c>
      <c r="L54" s="524">
        <f t="shared" si="8"/>
        <v>558924.91666666674</v>
      </c>
      <c r="M54" s="524">
        <v>0</v>
      </c>
      <c r="N54" s="524">
        <f t="shared" si="9"/>
        <v>558924.91666666674</v>
      </c>
      <c r="O54" s="525">
        <f t="shared" si="11"/>
        <v>589166.66666666674</v>
      </c>
      <c r="P54" s="525">
        <f>(VLOOKUP(A54,'2324 Funding Detail'!$A$4:$AA$20,25,FALSE)*7/12)*K54</f>
        <v>280662.14166666666</v>
      </c>
      <c r="Q54" s="65"/>
      <c r="R54" s="65">
        <f t="shared" si="10"/>
        <v>0</v>
      </c>
      <c r="S54" s="88"/>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x14ac:dyDescent="0.25">
      <c r="A55" s="74">
        <v>9257034</v>
      </c>
      <c r="B55" s="67" t="s">
        <v>75</v>
      </c>
      <c r="C55" s="121" t="s">
        <v>451</v>
      </c>
      <c r="D55" s="523">
        <f>VLOOKUP(A55,'2324 Band Moderations'!$B$5:$S$21,6,(FALSE))</f>
        <v>0.42735042735042733</v>
      </c>
      <c r="E55" s="523">
        <f>VLOOKUP(A55,'2324 Band Moderations'!$B$5:$S$21,8,(FALSE))</f>
        <v>0.3504273504273504</v>
      </c>
      <c r="F55" s="523">
        <f>VLOOKUP(A55,'2324 Band Moderations'!$B$5:$S$21,10,(FALSE))</f>
        <v>9.4017094017094016E-2</v>
      </c>
      <c r="G55" s="523">
        <f>VLOOKUP(A55,'2324 Band Moderations'!$B$5:$S$21,12,(FALSE))</f>
        <v>5.128205128205128E-2</v>
      </c>
      <c r="H55" s="523">
        <f>VLOOKUP(A55,'2324 Band Moderations'!$B$5:$S$21,14,(FALSE))</f>
        <v>2.564102564102564E-2</v>
      </c>
      <c r="I55" s="523">
        <f>VLOOKUP(A55,'2324 Band Moderations'!$B$5:$S$21,16,(FALSE))</f>
        <v>4.2735042735042736E-2</v>
      </c>
      <c r="J55" s="523">
        <f>VLOOKUP(A55,'2324 Band Moderations'!$B$5:$S$21,18,(FALSE))</f>
        <v>8.5470085470085479E-3</v>
      </c>
      <c r="K55" s="162">
        <v>106</v>
      </c>
      <c r="L55" s="524">
        <f t="shared" si="8"/>
        <v>570195.81908831908</v>
      </c>
      <c r="M55" s="524">
        <v>0</v>
      </c>
      <c r="N55" s="524">
        <f t="shared" si="9"/>
        <v>570195.81908831908</v>
      </c>
      <c r="O55" s="525">
        <f t="shared" si="11"/>
        <v>618333.33333333337</v>
      </c>
      <c r="P55" s="525">
        <f>(VLOOKUP(A55,'2324 Funding Detail'!$A$4:$AA$20,25,FALSE)*7/12)*K55</f>
        <v>251617.54144056249</v>
      </c>
      <c r="Q55" s="65"/>
      <c r="R55" s="65">
        <f t="shared" si="10"/>
        <v>12898.327635327636</v>
      </c>
      <c r="S55" s="88"/>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x14ac:dyDescent="0.25">
      <c r="A56" s="74">
        <v>9257002</v>
      </c>
      <c r="B56" s="67" t="s">
        <v>68</v>
      </c>
      <c r="C56" s="121">
        <v>5</v>
      </c>
      <c r="D56" s="523">
        <f>VLOOKUP(A56,'2324 Band Moderations'!$B$5:$S$21,6,(FALSE))</f>
        <v>0.17682926829268292</v>
      </c>
      <c r="E56" s="523">
        <f>VLOOKUP(A56,'2324 Band Moderations'!$B$5:$S$21,8,(FALSE))</f>
        <v>0.51829268292682928</v>
      </c>
      <c r="F56" s="523">
        <f>VLOOKUP(A56,'2324 Band Moderations'!$B$5:$S$21,10,(FALSE))</f>
        <v>0.12804878048780488</v>
      </c>
      <c r="G56" s="523">
        <f>VLOOKUP(A56,'2324 Band Moderations'!$B$5:$S$21,12,(FALSE))</f>
        <v>3.6585365853658534E-2</v>
      </c>
      <c r="H56" s="523">
        <f>VLOOKUP(A56,'2324 Band Moderations'!$B$5:$S$21,14,(FALSE))</f>
        <v>3.048780487804878E-2</v>
      </c>
      <c r="I56" s="523">
        <f>VLOOKUP(A56,'2324 Band Moderations'!$B$5:$S$21,16,(FALSE))</f>
        <v>9.7560975609756101E-2</v>
      </c>
      <c r="J56" s="523">
        <f>VLOOKUP(A56,'2324 Band Moderations'!$B$5:$S$21,18,(FALSE))</f>
        <v>1.2195121951219513E-2</v>
      </c>
      <c r="K56" s="162">
        <v>176</v>
      </c>
      <c r="L56" s="524">
        <f t="shared" si="8"/>
        <v>1055512.8699186991</v>
      </c>
      <c r="M56" s="524">
        <v>0</v>
      </c>
      <c r="N56" s="524">
        <f t="shared" si="9"/>
        <v>1055512.8699186991</v>
      </c>
      <c r="O56" s="525">
        <f t="shared" si="11"/>
        <v>1026666.6666666667</v>
      </c>
      <c r="P56" s="525">
        <f>(VLOOKUP(A56,'2324 Funding Detail'!$A$4:$AA$20,25,FALSE)*7/12)*K56</f>
        <v>445498.51385884039</v>
      </c>
      <c r="Q56" s="65"/>
      <c r="R56" s="65">
        <f t="shared" si="10"/>
        <v>30557.105691056913</v>
      </c>
      <c r="S56" s="88"/>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x14ac:dyDescent="0.25">
      <c r="A57" s="74">
        <v>9257009</v>
      </c>
      <c r="B57" s="67" t="s">
        <v>334</v>
      </c>
      <c r="C57" s="121" t="s">
        <v>451</v>
      </c>
      <c r="D57" s="523">
        <f>VLOOKUP(A57,'2324 Band Moderations'!$B$5:$S$21,6,(FALSE))</f>
        <v>0.17258883248730963</v>
      </c>
      <c r="E57" s="523">
        <f>VLOOKUP(A57,'2324 Band Moderations'!$B$5:$S$21,8,(FALSE))</f>
        <v>0.50761421319796951</v>
      </c>
      <c r="F57" s="523">
        <f>VLOOKUP(A57,'2324 Band Moderations'!$B$5:$S$21,10,(FALSE))</f>
        <v>6.5989847715736044E-2</v>
      </c>
      <c r="G57" s="523">
        <f>VLOOKUP(A57,'2324 Band Moderations'!$B$5:$S$21,12,(FALSE))</f>
        <v>8.1218274111675121E-2</v>
      </c>
      <c r="H57" s="523">
        <f>VLOOKUP(A57,'2324 Band Moderations'!$B$5:$S$21,14,(FALSE))</f>
        <v>3.553299492385787E-2</v>
      </c>
      <c r="I57" s="523">
        <f>VLOOKUP(A57,'2324 Band Moderations'!$B$5:$S$21,16,(FALSE))</f>
        <v>8.6294416243654817E-2</v>
      </c>
      <c r="J57" s="523">
        <f>VLOOKUP(A57,'2324 Band Moderations'!$B$5:$S$21,18,(FALSE))</f>
        <v>5.0761421319796954E-2</v>
      </c>
      <c r="K57" s="162">
        <v>201</v>
      </c>
      <c r="L57" s="524">
        <f t="shared" si="8"/>
        <v>1259439.3870558375</v>
      </c>
      <c r="M57" s="524">
        <v>0</v>
      </c>
      <c r="N57" s="524">
        <f t="shared" si="9"/>
        <v>1259439.3870558375</v>
      </c>
      <c r="O57" s="525">
        <f t="shared" si="11"/>
        <v>1172500.0000000002</v>
      </c>
      <c r="P57" s="525">
        <f>(VLOOKUP(A57,'2324 Funding Detail'!$A$4:$AA$20,25,FALSE)*7/12)*K57</f>
        <v>553652.58352793485</v>
      </c>
      <c r="Q57" s="65"/>
      <c r="R57" s="65">
        <f t="shared" si="10"/>
        <v>145259.06091370559</v>
      </c>
      <c r="S57" s="88"/>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x14ac:dyDescent="0.25">
      <c r="A58" s="74">
        <v>9257029</v>
      </c>
      <c r="B58" s="67" t="s">
        <v>278</v>
      </c>
      <c r="C58" s="121" t="s">
        <v>452</v>
      </c>
      <c r="D58" s="523">
        <f>VLOOKUP(A58,'2324 Band Moderations'!$B$5:$S$21,6,(FALSE))</f>
        <v>0</v>
      </c>
      <c r="E58" s="523">
        <f>VLOOKUP(A58,'2324 Band Moderations'!$B$5:$S$21,8,(FALSE))</f>
        <v>0</v>
      </c>
      <c r="F58" s="523">
        <f>VLOOKUP(A58,'2324 Band Moderations'!$B$5:$S$21,10,(FALSE))</f>
        <v>1</v>
      </c>
      <c r="G58" s="523">
        <f>VLOOKUP(A58,'2324 Band Moderations'!$B$5:$S$21,12,(FALSE))</f>
        <v>0</v>
      </c>
      <c r="H58" s="523">
        <f>VLOOKUP(A58,'2324 Band Moderations'!$B$5:$S$21,14,(FALSE))</f>
        <v>0</v>
      </c>
      <c r="I58" s="523">
        <f>VLOOKUP(A58,'2324 Band Moderations'!$B$5:$S$21,16,(FALSE))</f>
        <v>0</v>
      </c>
      <c r="J58" s="523">
        <f>VLOOKUP(A58,'2324 Band Moderations'!$B$5:$S$21,18,(FALSE))</f>
        <v>0</v>
      </c>
      <c r="K58" s="162">
        <v>79</v>
      </c>
      <c r="L58" s="524">
        <f t="shared" si="8"/>
        <v>717379.25</v>
      </c>
      <c r="M58" s="524">
        <v>0</v>
      </c>
      <c r="N58" s="524">
        <f t="shared" si="9"/>
        <v>717379.25</v>
      </c>
      <c r="O58" s="525">
        <f t="shared" si="11"/>
        <v>460833.33333333337</v>
      </c>
      <c r="P58" s="525">
        <f>(VLOOKUP(A58,'2324 Funding Detail'!$A$4:$AA$20,25,FALSE)*7/12)*K58</f>
        <v>546763.90416666667</v>
      </c>
      <c r="Q58" s="65"/>
      <c r="R58" s="65">
        <f t="shared" si="10"/>
        <v>0</v>
      </c>
      <c r="S58" s="88"/>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x14ac:dyDescent="0.25">
      <c r="A59" s="74">
        <v>9257032</v>
      </c>
      <c r="B59" s="67" t="s">
        <v>380</v>
      </c>
      <c r="C59" s="121" t="s">
        <v>452</v>
      </c>
      <c r="D59" s="523">
        <f>VLOOKUP(A59,'2324 Band Moderations'!$B$5:$S$21,6,(FALSE))</f>
        <v>0</v>
      </c>
      <c r="E59" s="523">
        <f>VLOOKUP(A59,'2324 Band Moderations'!$B$5:$S$21,8,(FALSE))</f>
        <v>0</v>
      </c>
      <c r="F59" s="523">
        <f>VLOOKUP(A59,'2324 Band Moderations'!$B$5:$S$21,10,(FALSE))</f>
        <v>1</v>
      </c>
      <c r="G59" s="523">
        <f>VLOOKUP(A59,'2324 Band Moderations'!$B$5:$S$21,12,(FALSE))</f>
        <v>0</v>
      </c>
      <c r="H59" s="523">
        <f>VLOOKUP(A59,'2324 Band Moderations'!$B$5:$S$21,14,(FALSE))</f>
        <v>0</v>
      </c>
      <c r="I59" s="523">
        <f>VLOOKUP(A59,'2324 Band Moderations'!$B$5:$S$21,16,(FALSE))</f>
        <v>0</v>
      </c>
      <c r="J59" s="523">
        <f>VLOOKUP(A59,'2324 Band Moderations'!$B$5:$S$21,18,(FALSE))</f>
        <v>0</v>
      </c>
      <c r="K59" s="162">
        <v>115</v>
      </c>
      <c r="L59" s="524">
        <f t="shared" si="8"/>
        <v>1044286.2500000001</v>
      </c>
      <c r="M59" s="524">
        <v>0</v>
      </c>
      <c r="N59" s="524">
        <f t="shared" si="9"/>
        <v>1044286.2500000001</v>
      </c>
      <c r="O59" s="525">
        <f t="shared" si="11"/>
        <v>670833.33333333337</v>
      </c>
      <c r="P59" s="525">
        <f>(VLOOKUP(A59,'2324 Funding Detail'!$A$4:$AA$20,25,FALSE)*7/12)*K59</f>
        <v>681850.69496855338</v>
      </c>
      <c r="Q59" s="65"/>
      <c r="R59" s="65">
        <f t="shared" si="10"/>
        <v>0</v>
      </c>
      <c r="S59" s="88"/>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x14ac:dyDescent="0.25">
      <c r="A60" s="74">
        <v>9257030</v>
      </c>
      <c r="B60" s="67" t="s">
        <v>383</v>
      </c>
      <c r="C60" s="121" t="s">
        <v>452</v>
      </c>
      <c r="D60" s="523">
        <f>VLOOKUP(A60,'2324 Band Moderations'!$B$5:$S$21,6,(FALSE))</f>
        <v>0</v>
      </c>
      <c r="E60" s="523">
        <f>VLOOKUP(A60,'2324 Band Moderations'!$B$5:$S$21,8,(FALSE))</f>
        <v>0</v>
      </c>
      <c r="F60" s="523">
        <f>VLOOKUP(A60,'2324 Band Moderations'!$B$5:$S$21,10,(FALSE))</f>
        <v>1</v>
      </c>
      <c r="G60" s="523">
        <f>VLOOKUP(A60,'2324 Band Moderations'!$B$5:$S$21,12,(FALSE))</f>
        <v>0</v>
      </c>
      <c r="H60" s="523">
        <f>VLOOKUP(A60,'2324 Band Moderations'!$B$5:$S$21,14,(FALSE))</f>
        <v>0</v>
      </c>
      <c r="I60" s="523">
        <f>VLOOKUP(A60,'2324 Band Moderations'!$B$5:$S$21,16,(FALSE))</f>
        <v>0</v>
      </c>
      <c r="J60" s="523">
        <f>VLOOKUP(A60,'2324 Band Moderations'!$B$5:$S$21,18,(FALSE))</f>
        <v>0</v>
      </c>
      <c r="K60" s="162">
        <v>70</v>
      </c>
      <c r="L60" s="524">
        <f t="shared" si="8"/>
        <v>635652.5</v>
      </c>
      <c r="M60" s="524">
        <v>0</v>
      </c>
      <c r="N60" s="524">
        <f t="shared" si="9"/>
        <v>635652.5</v>
      </c>
      <c r="O60" s="525">
        <f t="shared" si="11"/>
        <v>408333.33333333337</v>
      </c>
      <c r="P60" s="525">
        <f>(VLOOKUP(A60,'2324 Funding Detail'!$A$4:$AA$20,25,FALSE)*7/12)*K60</f>
        <v>520894.61808747071</v>
      </c>
      <c r="Q60" s="65"/>
      <c r="R60" s="65">
        <f t="shared" si="10"/>
        <v>0</v>
      </c>
      <c r="S60" s="88"/>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x14ac:dyDescent="0.25">
      <c r="A61" s="74">
        <v>9257028</v>
      </c>
      <c r="B61" s="67" t="s">
        <v>70</v>
      </c>
      <c r="C61" s="121">
        <v>5</v>
      </c>
      <c r="D61" s="523">
        <f>VLOOKUP(A61,'2324 Band Moderations'!$B$5:$S$21,6,(FALSE))</f>
        <v>9.0163934426229511E-2</v>
      </c>
      <c r="E61" s="523">
        <f>VLOOKUP(A61,'2324 Band Moderations'!$B$5:$S$21,8,(FALSE))</f>
        <v>0.45901639344262296</v>
      </c>
      <c r="F61" s="523">
        <f>VLOOKUP(A61,'2324 Band Moderations'!$B$5:$S$21,10,(FALSE))</f>
        <v>6.5573770491803282E-2</v>
      </c>
      <c r="G61" s="523">
        <f>VLOOKUP(A61,'2324 Band Moderations'!$B$5:$S$21,12,(FALSE))</f>
        <v>8.1967213114754092E-2</v>
      </c>
      <c r="H61" s="523">
        <f>VLOOKUP(A61,'2324 Band Moderations'!$B$5:$S$21,14,(FALSE))</f>
        <v>9.0163934426229511E-2</v>
      </c>
      <c r="I61" s="523">
        <f>VLOOKUP(A61,'2324 Band Moderations'!$B$5:$S$21,16,(FALSE))</f>
        <v>6.5573770491803282E-2</v>
      </c>
      <c r="J61" s="523">
        <f>VLOOKUP(A61,'2324 Band Moderations'!$B$5:$S$21,18,(FALSE))</f>
        <v>0.14754098360655737</v>
      </c>
      <c r="K61" s="162">
        <v>130</v>
      </c>
      <c r="L61" s="524">
        <f t="shared" si="8"/>
        <v>962656.92622950824</v>
      </c>
      <c r="M61" s="524">
        <v>0</v>
      </c>
      <c r="N61" s="524">
        <f t="shared" si="9"/>
        <v>962656.92622950824</v>
      </c>
      <c r="O61" s="525">
        <f t="shared" si="11"/>
        <v>758333.33333333337</v>
      </c>
      <c r="P61" s="525">
        <f>(VLOOKUP(A61,'2324 Funding Detail'!$A$4:$AA$20,25,FALSE)*7/12)*K61</f>
        <v>572116.66320867499</v>
      </c>
      <c r="Q61" s="65"/>
      <c r="R61" s="65">
        <f t="shared" si="10"/>
        <v>273067.13114754093</v>
      </c>
      <c r="S61" s="88"/>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x14ac:dyDescent="0.25">
      <c r="A62" s="74">
        <v>9257021</v>
      </c>
      <c r="B62" s="67" t="s">
        <v>71</v>
      </c>
      <c r="C62" s="121" t="s">
        <v>453</v>
      </c>
      <c r="D62" s="523">
        <f>VLOOKUP(A62,'2324 Band Moderations'!$B$5:$S$21,6,(FALSE))</f>
        <v>0.21176470588235294</v>
      </c>
      <c r="E62" s="523">
        <f>VLOOKUP(A62,'2324 Band Moderations'!$B$5:$S$21,8,(FALSE))</f>
        <v>0.52352941176470591</v>
      </c>
      <c r="F62" s="523">
        <f>VLOOKUP(A62,'2324 Band Moderations'!$B$5:$S$21,10,(FALSE))</f>
        <v>0.10588235294117647</v>
      </c>
      <c r="G62" s="523">
        <f>VLOOKUP(A62,'2324 Band Moderations'!$B$5:$S$21,12,(FALSE))</f>
        <v>7.0588235294117646E-2</v>
      </c>
      <c r="H62" s="523">
        <f>VLOOKUP(A62,'2324 Band Moderations'!$B$5:$S$21,14,(FALSE))</f>
        <v>2.9411764705882353E-2</v>
      </c>
      <c r="I62" s="523">
        <f>VLOOKUP(A62,'2324 Band Moderations'!$B$5:$S$21,16,(FALSE))</f>
        <v>4.7058823529411764E-2</v>
      </c>
      <c r="J62" s="523">
        <f>VLOOKUP(A62,'2324 Band Moderations'!$B$5:$S$21,18,(FALSE))</f>
        <v>1.1764705882352941E-2</v>
      </c>
      <c r="K62" s="162">
        <v>179</v>
      </c>
      <c r="L62" s="524">
        <f t="shared" si="8"/>
        <v>1029776.8215686277</v>
      </c>
      <c r="M62" s="524">
        <v>0</v>
      </c>
      <c r="N62" s="524">
        <f t="shared" si="9"/>
        <v>1029776.8215686277</v>
      </c>
      <c r="O62" s="525">
        <f t="shared" si="11"/>
        <v>1044166.6666666667</v>
      </c>
      <c r="P62" s="525">
        <f>(VLOOKUP(A62,'2324 Funding Detail'!$A$4:$AA$20,25,FALSE)*7/12)*K62</f>
        <v>390080.60133219877</v>
      </c>
      <c r="Q62" s="65"/>
      <c r="R62" s="65">
        <f t="shared" si="10"/>
        <v>29981.096078431368</v>
      </c>
      <c r="S62" s="88"/>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x14ac:dyDescent="0.25">
      <c r="A63" s="74">
        <v>9257015</v>
      </c>
      <c r="B63" s="67" t="s">
        <v>72</v>
      </c>
      <c r="C63" s="121" t="s">
        <v>454</v>
      </c>
      <c r="D63" s="523">
        <f>VLOOKUP(A63,'2324 Band Moderations'!$B$5:$S$21,6,(FALSE))</f>
        <v>0.26991150442477874</v>
      </c>
      <c r="E63" s="523">
        <f>VLOOKUP(A63,'2324 Band Moderations'!$B$5:$S$21,8,(FALSE))</f>
        <v>0.42035398230088494</v>
      </c>
      <c r="F63" s="523">
        <f>VLOOKUP(A63,'2324 Band Moderations'!$B$5:$S$21,10,(FALSE))</f>
        <v>2.2123893805309734E-2</v>
      </c>
      <c r="G63" s="523">
        <f>VLOOKUP(A63,'2324 Band Moderations'!$B$5:$S$21,12,(FALSE))</f>
        <v>8.8495575221238937E-2</v>
      </c>
      <c r="H63" s="523">
        <f>VLOOKUP(A63,'2324 Band Moderations'!$B$5:$S$21,14,(FALSE))</f>
        <v>2.2123893805309734E-2</v>
      </c>
      <c r="I63" s="523">
        <f>VLOOKUP(A63,'2324 Band Moderations'!$B$5:$S$21,16,(FALSE))</f>
        <v>0.15929203539823009</v>
      </c>
      <c r="J63" s="523">
        <f>VLOOKUP(A63,'2324 Band Moderations'!$B$5:$S$21,18,(FALSE))</f>
        <v>1.7699115044247787E-2</v>
      </c>
      <c r="K63" s="162">
        <v>217</v>
      </c>
      <c r="L63" s="524">
        <f t="shared" si="8"/>
        <v>1310511.0888643069</v>
      </c>
      <c r="M63" s="524">
        <v>0</v>
      </c>
      <c r="N63" s="524">
        <f t="shared" si="9"/>
        <v>1310511.0888643069</v>
      </c>
      <c r="O63" s="525">
        <f t="shared" si="11"/>
        <v>1265833.3333333335</v>
      </c>
      <c r="P63" s="525">
        <f>(VLOOKUP(A63,'2324 Funding Detail'!$A$4:$AA$20,25,FALSE)*7/12)*K63</f>
        <v>492299.83021091612</v>
      </c>
      <c r="Q63" s="65"/>
      <c r="R63" s="65">
        <f t="shared" si="10"/>
        <v>54679.519174041292</v>
      </c>
      <c r="S63" s="88"/>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x14ac:dyDescent="0.25">
      <c r="A64" s="74">
        <v>9257016</v>
      </c>
      <c r="B64" s="67" t="s">
        <v>73</v>
      </c>
      <c r="C64" s="121" t="s">
        <v>454</v>
      </c>
      <c r="D64" s="523">
        <f>VLOOKUP(A64,'2324 Band Moderations'!$B$5:$S$21,6,(FALSE))</f>
        <v>0.11874999999999999</v>
      </c>
      <c r="E64" s="523">
        <f>VLOOKUP(A64,'2324 Band Moderations'!$B$5:$S$21,8,(FALSE))</f>
        <v>0.21249999999999999</v>
      </c>
      <c r="F64" s="523">
        <f>VLOOKUP(A64,'2324 Band Moderations'!$B$5:$S$21,10,(FALSE))</f>
        <v>1.2500000000000001E-2</v>
      </c>
      <c r="G64" s="523">
        <f>VLOOKUP(A64,'2324 Band Moderations'!$B$5:$S$21,12,(FALSE))</f>
        <v>0.24374999999999999</v>
      </c>
      <c r="H64" s="523">
        <f>VLOOKUP(A64,'2324 Band Moderations'!$B$5:$S$21,14,(FALSE))</f>
        <v>0.18124999999999999</v>
      </c>
      <c r="I64" s="523">
        <f>VLOOKUP(A64,'2324 Band Moderations'!$B$5:$S$21,16,(FALSE))</f>
        <v>1.8749999999999999E-2</v>
      </c>
      <c r="J64" s="523">
        <f>VLOOKUP(A64,'2324 Band Moderations'!$B$5:$S$21,18,(FALSE))</f>
        <v>0.21249999999999999</v>
      </c>
      <c r="K64" s="162">
        <v>114</v>
      </c>
      <c r="L64" s="524">
        <f t="shared" si="8"/>
        <v>992102.69375000009</v>
      </c>
      <c r="M64" s="524">
        <v>0</v>
      </c>
      <c r="N64" s="524">
        <f t="shared" si="9"/>
        <v>992102.69375000009</v>
      </c>
      <c r="O64" s="525">
        <f t="shared" si="11"/>
        <v>665000</v>
      </c>
      <c r="P64" s="525">
        <f>(VLOOKUP(A64,'2324 Funding Detail'!$A$4:$AA$20,25,FALSE)*7/12)*K64</f>
        <v>645058.30495080748</v>
      </c>
      <c r="Q64" s="107" t="s">
        <v>62</v>
      </c>
      <c r="R64" s="65">
        <f t="shared" si="10"/>
        <v>344887.28749999998</v>
      </c>
      <c r="S64" s="88"/>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x14ac:dyDescent="0.25">
      <c r="A65" s="15"/>
      <c r="B65" s="15"/>
      <c r="C65" s="15"/>
      <c r="D65" s="15"/>
      <c r="E65" s="15"/>
      <c r="F65" s="107" t="s">
        <v>62</v>
      </c>
      <c r="G65" s="15"/>
      <c r="H65" s="15"/>
      <c r="I65" s="15"/>
      <c r="J65" s="107" t="s">
        <v>62</v>
      </c>
      <c r="K65" s="64"/>
      <c r="L65" s="15"/>
      <c r="M65" s="15"/>
      <c r="N65" s="107" t="s">
        <v>62</v>
      </c>
      <c r="O65" s="15"/>
      <c r="P65" s="15"/>
      <c r="Q65" s="15"/>
      <c r="R65" s="64"/>
      <c r="S65" s="100"/>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ht="13" x14ac:dyDescent="0.3">
      <c r="A66" s="34" t="s">
        <v>739</v>
      </c>
      <c r="B66" s="15"/>
      <c r="C66" s="15"/>
      <c r="D66" s="15"/>
      <c r="E66" s="15"/>
      <c r="F66" s="15"/>
      <c r="G66" s="15"/>
      <c r="H66" s="15"/>
      <c r="I66" s="15"/>
      <c r="J66" s="15"/>
      <c r="K66" s="64"/>
      <c r="L66" s="64"/>
      <c r="M66" s="15"/>
      <c r="N66" s="15"/>
      <c r="O66" s="15"/>
      <c r="P66" s="15"/>
      <c r="Q66" s="15"/>
      <c r="R66" s="64"/>
      <c r="S66" s="100"/>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x14ac:dyDescent="0.25">
      <c r="A67" s="15"/>
      <c r="B67" s="15"/>
      <c r="C67" s="15"/>
      <c r="D67" s="15"/>
      <c r="E67" s="15"/>
      <c r="F67" s="15"/>
      <c r="G67" s="15"/>
      <c r="H67" s="15"/>
      <c r="I67" s="15"/>
      <c r="J67" s="15"/>
      <c r="K67" s="35" t="s">
        <v>738</v>
      </c>
      <c r="L67" s="64"/>
      <c r="M67" s="15"/>
      <c r="N67" s="15"/>
      <c r="O67" s="1108" t="s">
        <v>77</v>
      </c>
      <c r="P67" s="1109"/>
      <c r="Q67" s="15"/>
      <c r="R67" s="64"/>
      <c r="S67" s="100"/>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37.5" x14ac:dyDescent="0.25">
      <c r="A68" s="85" t="s">
        <v>48</v>
      </c>
      <c r="B68" s="67" t="s">
        <v>49</v>
      </c>
      <c r="C68" s="68" t="s">
        <v>50</v>
      </c>
      <c r="D68" s="64" t="s">
        <v>280</v>
      </c>
      <c r="E68" s="64" t="s">
        <v>281</v>
      </c>
      <c r="F68" s="64" t="s">
        <v>282</v>
      </c>
      <c r="G68" s="64" t="s">
        <v>283</v>
      </c>
      <c r="H68" s="64" t="s">
        <v>284</v>
      </c>
      <c r="I68" s="64" t="s">
        <v>285</v>
      </c>
      <c r="J68" s="64" t="s">
        <v>286</v>
      </c>
      <c r="K68" s="73" t="s">
        <v>88</v>
      </c>
      <c r="L68" s="73" t="s">
        <v>98</v>
      </c>
      <c r="M68" s="73" t="s">
        <v>99</v>
      </c>
      <c r="N68" s="73" t="s">
        <v>98</v>
      </c>
      <c r="O68" s="73" t="s">
        <v>91</v>
      </c>
      <c r="P68" s="110" t="s">
        <v>100</v>
      </c>
      <c r="Q68" s="73"/>
      <c r="R68" s="73"/>
      <c r="S68" s="91"/>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x14ac:dyDescent="0.25">
      <c r="A69" s="74">
        <v>9257010</v>
      </c>
      <c r="B69" s="67" t="s">
        <v>439</v>
      </c>
      <c r="C69" s="121">
        <v>5</v>
      </c>
      <c r="D69" s="523">
        <f>VLOOKUP(A69,'2324 Band Moderations'!$B$5:$S$21,6,(FALSE))</f>
        <v>0.10738255033557047</v>
      </c>
      <c r="E69" s="523">
        <f>VLOOKUP(A69,'2324 Band Moderations'!$B$5:$S$21,8,(FALSE))</f>
        <v>0.44966442953020136</v>
      </c>
      <c r="F69" s="523">
        <f>VLOOKUP(A69,'2324 Band Moderations'!$B$5:$S$21,10,(FALSE))</f>
        <v>6.0402684563758392E-2</v>
      </c>
      <c r="G69" s="523">
        <f>VLOOKUP(A69,'2324 Band Moderations'!$B$5:$S$21,12,(FALSE))</f>
        <v>0.16107382550335569</v>
      </c>
      <c r="H69" s="523">
        <f>VLOOKUP(A69,'2324 Band Moderations'!$B$5:$S$21,14,(FALSE))</f>
        <v>7.3825503355704702E-2</v>
      </c>
      <c r="I69" s="523">
        <f>VLOOKUP(A69,'2324 Band Moderations'!$B$5:$S$21,16,(FALSE))</f>
        <v>6.7114093959731544E-2</v>
      </c>
      <c r="J69" s="523">
        <f>VLOOKUP(A69,'2324 Band Moderations'!$B$5:$S$21,18,(FALSE))</f>
        <v>8.0536912751677847E-2</v>
      </c>
      <c r="K69" s="162">
        <v>25</v>
      </c>
      <c r="L69" s="524">
        <f>((((K69*D69)*$G$88)+((K69*E69)*$G$90)+((K69*F69)*$G$92)+((K69*G69)*$G$94)+((K69*H69)*$G$96)+((K69*I69)*$G$98)+((K69*J69)*$G$100))*(8/12))</f>
        <v>200710.6263982103</v>
      </c>
      <c r="M69" s="524">
        <v>0</v>
      </c>
      <c r="N69" s="524">
        <f>SUM(L69:M69)</f>
        <v>200710.6263982103</v>
      </c>
      <c r="O69" s="525">
        <f>(K69*(8/12))*10000</f>
        <v>166666.66666666666</v>
      </c>
      <c r="P69" s="525">
        <f>(VLOOKUP(A69,'2324 Funding Detail'!$A$4:$AA$20,25,FALSE)*8/12)*K69</f>
        <v>116091.5484314067</v>
      </c>
      <c r="Q69" s="65"/>
      <c r="R69" s="65">
        <f>(J69*K69*$G$100)*8/12</f>
        <v>32759.731543624159</v>
      </c>
      <c r="S69" s="88"/>
      <c r="T69" s="93"/>
      <c r="U69" s="15"/>
      <c r="V69" s="105"/>
      <c r="W69" s="104"/>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x14ac:dyDescent="0.25">
      <c r="A70" s="74">
        <v>9257005</v>
      </c>
      <c r="B70" s="67" t="s">
        <v>63</v>
      </c>
      <c r="C70" s="121">
        <v>4</v>
      </c>
      <c r="D70" s="523">
        <f>VLOOKUP(A70,'2324 Band Moderations'!$B$5:$S$21,6,(FALSE))</f>
        <v>8.4507042253521125E-2</v>
      </c>
      <c r="E70" s="523">
        <f>VLOOKUP(A70,'2324 Band Moderations'!$B$5:$S$21,8,(FALSE))</f>
        <v>0.352112676056338</v>
      </c>
      <c r="F70" s="523">
        <f>VLOOKUP(A70,'2324 Band Moderations'!$B$5:$S$21,10,(FALSE))</f>
        <v>8.4507042253521125E-2</v>
      </c>
      <c r="G70" s="523">
        <f>VLOOKUP(A70,'2324 Band Moderations'!$B$5:$S$21,12,(FALSE))</f>
        <v>0.12676056338028169</v>
      </c>
      <c r="H70" s="523">
        <f>VLOOKUP(A70,'2324 Band Moderations'!$B$5:$S$21,14,(FALSE))</f>
        <v>0.11267605633802817</v>
      </c>
      <c r="I70" s="523">
        <f>VLOOKUP(A70,'2324 Band Moderations'!$B$5:$S$21,16,(FALSE))</f>
        <v>0.16901408450704225</v>
      </c>
      <c r="J70" s="523">
        <f>VLOOKUP(A70,'2324 Band Moderations'!$B$5:$S$21,18,(FALSE))</f>
        <v>7.0422535211267609E-2</v>
      </c>
      <c r="K70" s="162">
        <v>20</v>
      </c>
      <c r="L70" s="524">
        <f>((((K70*D70)*$G$88)+((K70*E70)*$G$90)+((K70*F70)*$G$92)+((K70*G70)*$G$94)+((K70*H70)*$G$96)+((K70*I70)*$G$98)+((K70*J70)*$G$100))*(8/12))</f>
        <v>174073.61502347418</v>
      </c>
      <c r="M70" s="524">
        <v>0</v>
      </c>
      <c r="N70" s="524">
        <f>SUM(L70:M70)</f>
        <v>174073.61502347418</v>
      </c>
      <c r="O70" s="525">
        <f t="shared" ref="O70:O85" si="12">(K70*(8/12))*10000</f>
        <v>133333.33333333331</v>
      </c>
      <c r="P70" s="525">
        <f>(VLOOKUP(A70,'2324 Funding Detail'!$A$4:$AA$20,25,FALSE)*8/12)*K70</f>
        <v>128803.64637143657</v>
      </c>
      <c r="Q70" s="65"/>
      <c r="R70" s="65">
        <f>(J70*K70*$G$100)*8/12</f>
        <v>22916.431924882632</v>
      </c>
      <c r="S70" s="88"/>
      <c r="T70" s="93"/>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row>
    <row r="71" spans="1:56" x14ac:dyDescent="0.25">
      <c r="A71" s="74">
        <v>9257025</v>
      </c>
      <c r="B71" s="67" t="s">
        <v>64</v>
      </c>
      <c r="C71" s="121">
        <v>4</v>
      </c>
      <c r="D71" s="523">
        <f>VLOOKUP(A71,'2324 Band Moderations'!$B$5:$S$21,6,(FALSE))</f>
        <v>0.13333333333333333</v>
      </c>
      <c r="E71" s="523">
        <f>VLOOKUP(A71,'2324 Band Moderations'!$B$5:$S$21,8,(FALSE))</f>
        <v>0.53333333333333333</v>
      </c>
      <c r="F71" s="523">
        <f>VLOOKUP(A71,'2324 Band Moderations'!$B$5:$S$21,10,(FALSE))</f>
        <v>4.4444444444444446E-2</v>
      </c>
      <c r="G71" s="523">
        <f>VLOOKUP(A71,'2324 Band Moderations'!$B$5:$S$21,12,(FALSE))</f>
        <v>0.1111111111111111</v>
      </c>
      <c r="H71" s="523">
        <f>VLOOKUP(A71,'2324 Band Moderations'!$B$5:$S$21,14,(FALSE))</f>
        <v>1.1111111111111112E-2</v>
      </c>
      <c r="I71" s="523">
        <f>VLOOKUP(A71,'2324 Band Moderations'!$B$5:$S$21,16,(FALSE))</f>
        <v>0.12222222222222222</v>
      </c>
      <c r="J71" s="523">
        <f>VLOOKUP(A71,'2324 Band Moderations'!$B$5:$S$21,18,(FALSE))</f>
        <v>4.4444444444444446E-2</v>
      </c>
      <c r="K71" s="162">
        <v>24</v>
      </c>
      <c r="L71" s="524">
        <f>((((K71*D71)*$G$88)+((K71*E71)*$G$90)+((K71*F71)*$G$92)+((K71*G71)*$G$94)+((K71*H71)*$G$96)+((K71*I71)*$G$98)+((K71*J71)*$G$100))*(8/12))</f>
        <v>174288.7111111111</v>
      </c>
      <c r="M71" s="524">
        <v>0</v>
      </c>
      <c r="N71" s="524">
        <f t="shared" ref="N71:N85" si="13">SUM(L71:M71)</f>
        <v>174288.7111111111</v>
      </c>
      <c r="O71" s="525">
        <f t="shared" si="12"/>
        <v>160000</v>
      </c>
      <c r="P71" s="525">
        <f>(VLOOKUP(A71,'2324 Funding Detail'!$A$4:$AA$20,25,FALSE)*8/12)*K71</f>
        <v>105029.29437747848</v>
      </c>
      <c r="Q71" s="65"/>
      <c r="R71" s="65">
        <f>(J71*K71*$G$100)*8/12</f>
        <v>17355.377777777776</v>
      </c>
      <c r="S71" s="88"/>
      <c r="T71" s="93"/>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row>
    <row r="72" spans="1:56" x14ac:dyDescent="0.25">
      <c r="A72" s="74">
        <v>9257024</v>
      </c>
      <c r="B72" s="67" t="s">
        <v>66</v>
      </c>
      <c r="C72" s="121">
        <v>4</v>
      </c>
      <c r="D72" s="523">
        <f>VLOOKUP(A72,'2324 Band Moderations'!$B$5:$S$21,6,(FALSE))</f>
        <v>8.2352941176470587E-2</v>
      </c>
      <c r="E72" s="523">
        <f>VLOOKUP(A72,'2324 Band Moderations'!$B$5:$S$21,8,(FALSE))</f>
        <v>0.54117647058823526</v>
      </c>
      <c r="F72" s="523">
        <f>VLOOKUP(A72,'2324 Band Moderations'!$B$5:$S$21,10,(FALSE))</f>
        <v>1.1764705882352941E-2</v>
      </c>
      <c r="G72" s="523">
        <f>VLOOKUP(A72,'2324 Band Moderations'!$B$5:$S$21,12,(FALSE))</f>
        <v>0.17647058823529413</v>
      </c>
      <c r="H72" s="523">
        <f>VLOOKUP(A72,'2324 Band Moderations'!$B$5:$S$21,14,(FALSE))</f>
        <v>7.0588235294117646E-2</v>
      </c>
      <c r="I72" s="523">
        <f>VLOOKUP(A72,'2324 Band Moderations'!$B$5:$S$21,16,(FALSE))</f>
        <v>4.7058823529411764E-2</v>
      </c>
      <c r="J72" s="523">
        <f>VLOOKUP(A72,'2324 Band Moderations'!$B$5:$S$21,18,(FALSE))</f>
        <v>7.0588235294117646E-2</v>
      </c>
      <c r="K72" s="162">
        <v>16</v>
      </c>
      <c r="L72" s="524">
        <f t="shared" ref="L72:L85" si="14">((((K72*D72)*$G$88)+((K72*E72)*$G$90)+((K72*F72)*$G$92)+((K72*G72)*$G$94)+((K72*H72)*$G$96)+((K72*I72)*$G$98)+((K72*J72)*$G$100))*(8/12))</f>
        <v>122144.75294117644</v>
      </c>
      <c r="M72" s="524">
        <v>0</v>
      </c>
      <c r="N72" s="524">
        <f t="shared" si="13"/>
        <v>122144.75294117644</v>
      </c>
      <c r="O72" s="525">
        <f t="shared" si="12"/>
        <v>106666.66666666666</v>
      </c>
      <c r="P72" s="525">
        <f>(VLOOKUP(A72,'2324 Funding Detail'!$A$4:$AA$20,25,FALSE)*8/12)*K72</f>
        <v>77402.447322559005</v>
      </c>
      <c r="Q72" s="65"/>
      <c r="R72" s="65">
        <f t="shared" ref="R72:R85" si="15">(J72*K72*$G$100)*8/12</f>
        <v>18376.282352941176</v>
      </c>
      <c r="S72" s="88"/>
      <c r="T72" s="93"/>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row>
    <row r="73" spans="1:56" x14ac:dyDescent="0.25">
      <c r="A73" s="74">
        <v>9257031</v>
      </c>
      <c r="B73" s="67" t="s">
        <v>84</v>
      </c>
      <c r="C73" s="121">
        <v>5</v>
      </c>
      <c r="D73" s="523">
        <f>VLOOKUP(A73,'2324 Band Moderations'!$B$5:$S$21,6,(FALSE))</f>
        <v>0</v>
      </c>
      <c r="E73" s="523">
        <f>VLOOKUP(A73,'2324 Band Moderations'!$B$5:$S$21,8,(FALSE))</f>
        <v>0</v>
      </c>
      <c r="F73" s="523">
        <f>VLOOKUP(A73,'2324 Band Moderations'!$B$5:$S$21,10,(FALSE))</f>
        <v>1</v>
      </c>
      <c r="G73" s="523">
        <f>VLOOKUP(A73,'2324 Band Moderations'!$B$5:$S$21,12,(FALSE))</f>
        <v>0</v>
      </c>
      <c r="H73" s="523">
        <f>VLOOKUP(A73,'2324 Band Moderations'!$B$5:$S$21,14,(FALSE))</f>
        <v>0</v>
      </c>
      <c r="I73" s="523">
        <f>VLOOKUP(A73,'2324 Band Moderations'!$B$5:$S$21,16,(FALSE))</f>
        <v>0</v>
      </c>
      <c r="J73" s="523">
        <f>VLOOKUP(A73,'2324 Band Moderations'!$B$5:$S$21,18,(FALSE))</f>
        <v>0</v>
      </c>
      <c r="K73" s="162">
        <v>0</v>
      </c>
      <c r="L73" s="524">
        <f t="shared" si="14"/>
        <v>0</v>
      </c>
      <c r="M73" s="524">
        <v>0</v>
      </c>
      <c r="N73" s="524">
        <f t="shared" si="13"/>
        <v>0</v>
      </c>
      <c r="O73" s="525">
        <f t="shared" si="12"/>
        <v>0</v>
      </c>
      <c r="P73" s="525">
        <f>(VLOOKUP(A73,'2324 Funding Detail'!$A$4:$AA$20,25,FALSE)*8/12)*K73</f>
        <v>0</v>
      </c>
      <c r="Q73" s="65"/>
      <c r="R73" s="65">
        <f t="shared" si="15"/>
        <v>0</v>
      </c>
      <c r="S73" s="88"/>
      <c r="T73" s="93"/>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row>
    <row r="74" spans="1:56" x14ac:dyDescent="0.25">
      <c r="A74" s="74">
        <v>9257033</v>
      </c>
      <c r="B74" s="67" t="s">
        <v>74</v>
      </c>
      <c r="C74" s="121" t="s">
        <v>451</v>
      </c>
      <c r="D74" s="523">
        <f>VLOOKUP(A74,'2324 Band Moderations'!$B$5:$S$21,6,(FALSE))</f>
        <v>0.13513513513513514</v>
      </c>
      <c r="E74" s="523">
        <f>VLOOKUP(A74,'2324 Band Moderations'!$B$5:$S$21,8,(FALSE))</f>
        <v>0.67567567567567566</v>
      </c>
      <c r="F74" s="523">
        <f>VLOOKUP(A74,'2324 Band Moderations'!$B$5:$S$21,10,(FALSE))</f>
        <v>9.0090090090090089E-3</v>
      </c>
      <c r="G74" s="523">
        <f>VLOOKUP(A74,'2324 Band Moderations'!$B$5:$S$21,12,(FALSE))</f>
        <v>9.0090090090090086E-2</v>
      </c>
      <c r="H74" s="523">
        <f>VLOOKUP(A74,'2324 Band Moderations'!$B$5:$S$21,14,(FALSE))</f>
        <v>4.5045045045045043E-2</v>
      </c>
      <c r="I74" s="523">
        <f>VLOOKUP(A74,'2324 Band Moderations'!$B$5:$S$21,16,(FALSE))</f>
        <v>2.7027027027027029E-2</v>
      </c>
      <c r="J74" s="523">
        <f>VLOOKUP(A74,'2324 Band Moderations'!$B$5:$S$21,18,(FALSE))</f>
        <v>1.8018018018018018E-2</v>
      </c>
      <c r="K74" s="162">
        <v>0</v>
      </c>
      <c r="L74" s="524">
        <f t="shared" si="14"/>
        <v>0</v>
      </c>
      <c r="M74" s="524">
        <v>0</v>
      </c>
      <c r="N74" s="524">
        <f t="shared" si="13"/>
        <v>0</v>
      </c>
      <c r="O74" s="525">
        <f t="shared" si="12"/>
        <v>0</v>
      </c>
      <c r="P74" s="525">
        <f>(VLOOKUP(A74,'2324 Funding Detail'!$A$4:$AA$20,25,FALSE)*8/12)*K74</f>
        <v>0</v>
      </c>
      <c r="Q74" s="65"/>
      <c r="R74" s="65">
        <f t="shared" si="15"/>
        <v>0</v>
      </c>
      <c r="S74" s="88"/>
      <c r="T74" s="93"/>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row>
    <row r="75" spans="1:56" x14ac:dyDescent="0.25">
      <c r="A75" s="74">
        <v>9257008</v>
      </c>
      <c r="B75" s="67" t="s">
        <v>67</v>
      </c>
      <c r="C75" s="121">
        <v>4</v>
      </c>
      <c r="D75" s="523">
        <f>VLOOKUP(A75,'2324 Band Moderations'!$B$5:$S$21,6,(FALSE))</f>
        <v>0.15841584158415842</v>
      </c>
      <c r="E75" s="523">
        <f>VLOOKUP(A75,'2324 Band Moderations'!$B$5:$S$21,8,(FALSE))</f>
        <v>0.62376237623762376</v>
      </c>
      <c r="F75" s="523">
        <f>VLOOKUP(A75,'2324 Band Moderations'!$B$5:$S$21,10,(FALSE))</f>
        <v>4.9504950495049507E-2</v>
      </c>
      <c r="G75" s="523">
        <f>VLOOKUP(A75,'2324 Band Moderations'!$B$5:$S$21,12,(FALSE))</f>
        <v>0.10891089108910891</v>
      </c>
      <c r="H75" s="523">
        <f>VLOOKUP(A75,'2324 Band Moderations'!$B$5:$S$21,14,(FALSE))</f>
        <v>0</v>
      </c>
      <c r="I75" s="523">
        <f>VLOOKUP(A75,'2324 Band Moderations'!$B$5:$S$21,16,(FALSE))</f>
        <v>5.9405940594059403E-2</v>
      </c>
      <c r="J75" s="523">
        <f>VLOOKUP(A75,'2324 Band Moderations'!$B$5:$S$21,18,(FALSE))</f>
        <v>0</v>
      </c>
      <c r="K75" s="162">
        <v>0</v>
      </c>
      <c r="L75" s="524">
        <f t="shared" si="14"/>
        <v>0</v>
      </c>
      <c r="M75" s="524">
        <v>0</v>
      </c>
      <c r="N75" s="524">
        <f t="shared" si="13"/>
        <v>0</v>
      </c>
      <c r="O75" s="525">
        <f t="shared" si="12"/>
        <v>0</v>
      </c>
      <c r="P75" s="525">
        <f>(VLOOKUP(A75,'2324 Funding Detail'!$A$4:$AA$20,25,FALSE)*8/12)*K75</f>
        <v>0</v>
      </c>
      <c r="Q75" s="65"/>
      <c r="R75" s="65">
        <f t="shared" si="15"/>
        <v>0</v>
      </c>
      <c r="S75" s="88"/>
      <c r="T75" s="93"/>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row>
    <row r="76" spans="1:56" x14ac:dyDescent="0.25">
      <c r="A76" s="74">
        <v>9257034</v>
      </c>
      <c r="B76" s="67" t="s">
        <v>75</v>
      </c>
      <c r="C76" s="121" t="s">
        <v>451</v>
      </c>
      <c r="D76" s="523">
        <f>VLOOKUP(A76,'2324 Band Moderations'!$B$5:$S$21,6,(FALSE))</f>
        <v>0.42735042735042733</v>
      </c>
      <c r="E76" s="523">
        <f>VLOOKUP(A76,'2324 Band Moderations'!$B$5:$S$21,8,(FALSE))</f>
        <v>0.3504273504273504</v>
      </c>
      <c r="F76" s="523">
        <f>VLOOKUP(A76,'2324 Band Moderations'!$B$5:$S$21,10,(FALSE))</f>
        <v>9.4017094017094016E-2</v>
      </c>
      <c r="G76" s="523">
        <f>VLOOKUP(A76,'2324 Band Moderations'!$B$5:$S$21,12,(FALSE))</f>
        <v>5.128205128205128E-2</v>
      </c>
      <c r="H76" s="523">
        <f>VLOOKUP(A76,'2324 Band Moderations'!$B$5:$S$21,14,(FALSE))</f>
        <v>2.564102564102564E-2</v>
      </c>
      <c r="I76" s="523">
        <f>VLOOKUP(A76,'2324 Band Moderations'!$B$5:$S$21,16,(FALSE))</f>
        <v>4.2735042735042736E-2</v>
      </c>
      <c r="J76" s="523">
        <f>VLOOKUP(A76,'2324 Band Moderations'!$B$5:$S$21,18,(FALSE))</f>
        <v>8.5470085470085479E-3</v>
      </c>
      <c r="K76" s="162">
        <v>26</v>
      </c>
      <c r="L76" s="524">
        <f t="shared" si="14"/>
        <v>159839.25925925924</v>
      </c>
      <c r="M76" s="524">
        <v>0</v>
      </c>
      <c r="N76" s="524">
        <f t="shared" si="13"/>
        <v>159839.25925925924</v>
      </c>
      <c r="O76" s="525">
        <f t="shared" si="12"/>
        <v>173333.33333333331</v>
      </c>
      <c r="P76" s="525">
        <f>(VLOOKUP(A76,'2324 Funding Detail'!$A$4:$AA$20,25,FALSE)*8/12)*K76</f>
        <v>70534.297331047157</v>
      </c>
      <c r="Q76" s="65"/>
      <c r="R76" s="65">
        <f t="shared" si="15"/>
        <v>3615.7037037037039</v>
      </c>
      <c r="S76" s="88"/>
      <c r="T76" s="93"/>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row>
    <row r="77" spans="1:56" x14ac:dyDescent="0.25">
      <c r="A77" s="74">
        <v>9257002</v>
      </c>
      <c r="B77" s="67" t="s">
        <v>68</v>
      </c>
      <c r="C77" s="121">
        <v>5</v>
      </c>
      <c r="D77" s="523">
        <f>VLOOKUP(A77,'2324 Band Moderations'!$B$5:$S$21,6,(FALSE))</f>
        <v>0.17682926829268292</v>
      </c>
      <c r="E77" s="523">
        <f>VLOOKUP(A77,'2324 Band Moderations'!$B$5:$S$21,8,(FALSE))</f>
        <v>0.51829268292682928</v>
      </c>
      <c r="F77" s="523">
        <f>VLOOKUP(A77,'2324 Band Moderations'!$B$5:$S$21,10,(FALSE))</f>
        <v>0.12804878048780488</v>
      </c>
      <c r="G77" s="523">
        <f>VLOOKUP(A77,'2324 Band Moderations'!$B$5:$S$21,12,(FALSE))</f>
        <v>3.6585365853658534E-2</v>
      </c>
      <c r="H77" s="523">
        <f>VLOOKUP(A77,'2324 Band Moderations'!$B$5:$S$21,14,(FALSE))</f>
        <v>3.048780487804878E-2</v>
      </c>
      <c r="I77" s="523">
        <f>VLOOKUP(A77,'2324 Band Moderations'!$B$5:$S$21,16,(FALSE))</f>
        <v>9.7560975609756101E-2</v>
      </c>
      <c r="J77" s="523">
        <f>VLOOKUP(A77,'2324 Band Moderations'!$B$5:$S$21,18,(FALSE))</f>
        <v>1.2195121951219513E-2</v>
      </c>
      <c r="K77" s="162">
        <v>0</v>
      </c>
      <c r="L77" s="524">
        <f t="shared" si="14"/>
        <v>0</v>
      </c>
      <c r="M77" s="524">
        <v>0</v>
      </c>
      <c r="N77" s="524">
        <f t="shared" si="13"/>
        <v>0</v>
      </c>
      <c r="O77" s="525">
        <f t="shared" si="12"/>
        <v>0</v>
      </c>
      <c r="P77" s="525">
        <f>(VLOOKUP(A77,'2324 Funding Detail'!$A$4:$AA$20,25,FALSE)*8/12)*K77</f>
        <v>0</v>
      </c>
      <c r="Q77" s="65"/>
      <c r="R77" s="65">
        <f t="shared" si="15"/>
        <v>0</v>
      </c>
      <c r="S77" s="88"/>
      <c r="T77" s="93"/>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row>
    <row r="78" spans="1:56" x14ac:dyDescent="0.25">
      <c r="A78" s="74">
        <v>9257009</v>
      </c>
      <c r="B78" s="67" t="s">
        <v>334</v>
      </c>
      <c r="C78" s="121" t="s">
        <v>451</v>
      </c>
      <c r="D78" s="523">
        <f>VLOOKUP(A78,'2324 Band Moderations'!$B$5:$S$21,6,(FALSE))</f>
        <v>0.17258883248730963</v>
      </c>
      <c r="E78" s="523">
        <f>VLOOKUP(A78,'2324 Band Moderations'!$B$5:$S$21,8,(FALSE))</f>
        <v>0.50761421319796951</v>
      </c>
      <c r="F78" s="523">
        <f>VLOOKUP(A78,'2324 Band Moderations'!$B$5:$S$21,10,(FALSE))</f>
        <v>6.5989847715736044E-2</v>
      </c>
      <c r="G78" s="523">
        <f>VLOOKUP(A78,'2324 Band Moderations'!$B$5:$S$21,12,(FALSE))</f>
        <v>8.1218274111675121E-2</v>
      </c>
      <c r="H78" s="523">
        <f>VLOOKUP(A78,'2324 Band Moderations'!$B$5:$S$21,14,(FALSE))</f>
        <v>3.553299492385787E-2</v>
      </c>
      <c r="I78" s="523">
        <f>VLOOKUP(A78,'2324 Band Moderations'!$B$5:$S$21,16,(FALSE))</f>
        <v>8.6294416243654817E-2</v>
      </c>
      <c r="J78" s="523">
        <f>VLOOKUP(A78,'2324 Band Moderations'!$B$5:$S$21,18,(FALSE))</f>
        <v>5.0761421319796954E-2</v>
      </c>
      <c r="K78" s="162">
        <v>11</v>
      </c>
      <c r="L78" s="524">
        <f t="shared" si="14"/>
        <v>78770.906937394233</v>
      </c>
      <c r="M78" s="524">
        <v>0</v>
      </c>
      <c r="N78" s="524">
        <f t="shared" si="13"/>
        <v>78770.906937394233</v>
      </c>
      <c r="O78" s="525">
        <f t="shared" si="12"/>
        <v>73333.333333333328</v>
      </c>
      <c r="P78" s="525">
        <f>(VLOOKUP(A78,'2324 Funding Detail'!$A$4:$AA$20,25,FALSE)*8/12)*K78</f>
        <v>34627.880135364794</v>
      </c>
      <c r="Q78" s="65"/>
      <c r="R78" s="65">
        <f t="shared" si="15"/>
        <v>9085.1438240270727</v>
      </c>
      <c r="S78" s="88"/>
      <c r="T78" s="93"/>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row>
    <row r="79" spans="1:56" x14ac:dyDescent="0.25">
      <c r="A79" s="74">
        <v>9257029</v>
      </c>
      <c r="B79" s="67" t="s">
        <v>278</v>
      </c>
      <c r="C79" s="121" t="s">
        <v>452</v>
      </c>
      <c r="D79" s="523">
        <f>VLOOKUP(A79,'2324 Band Moderations'!$B$5:$S$21,6,(FALSE))</f>
        <v>0</v>
      </c>
      <c r="E79" s="523">
        <f>VLOOKUP(A79,'2324 Band Moderations'!$B$5:$S$21,8,(FALSE))</f>
        <v>0</v>
      </c>
      <c r="F79" s="523">
        <f>VLOOKUP(A79,'2324 Band Moderations'!$B$5:$S$21,10,(FALSE))</f>
        <v>1</v>
      </c>
      <c r="G79" s="523">
        <f>VLOOKUP(A79,'2324 Band Moderations'!$B$5:$S$21,12,(FALSE))</f>
        <v>0</v>
      </c>
      <c r="H79" s="523">
        <f>VLOOKUP(A79,'2324 Band Moderations'!$B$5:$S$21,14,(FALSE))</f>
        <v>0</v>
      </c>
      <c r="I79" s="523">
        <f>VLOOKUP(A79,'2324 Band Moderations'!$B$5:$S$21,16,(FALSE))</f>
        <v>0</v>
      </c>
      <c r="J79" s="523">
        <f>VLOOKUP(A79,'2324 Band Moderations'!$B$5:$S$21,18,(FALSE))</f>
        <v>0</v>
      </c>
      <c r="K79" s="162">
        <v>0</v>
      </c>
      <c r="L79" s="524">
        <f t="shared" si="14"/>
        <v>0</v>
      </c>
      <c r="M79" s="524">
        <v>0</v>
      </c>
      <c r="N79" s="524">
        <f t="shared" si="13"/>
        <v>0</v>
      </c>
      <c r="O79" s="525">
        <f t="shared" si="12"/>
        <v>0</v>
      </c>
      <c r="P79" s="525">
        <f>(VLOOKUP(A79,'2324 Funding Detail'!$A$4:$AA$20,25,FALSE)*8/12)*K79</f>
        <v>0</v>
      </c>
      <c r="Q79" s="65"/>
      <c r="R79" s="65">
        <f t="shared" si="15"/>
        <v>0</v>
      </c>
      <c r="S79" s="88"/>
      <c r="T79" s="93"/>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row>
    <row r="80" spans="1:56" x14ac:dyDescent="0.25">
      <c r="A80" s="74">
        <v>9257032</v>
      </c>
      <c r="B80" s="67" t="s">
        <v>380</v>
      </c>
      <c r="C80" s="121" t="s">
        <v>452</v>
      </c>
      <c r="D80" s="523">
        <f>VLOOKUP(A80,'2324 Band Moderations'!$B$5:$S$21,6,(FALSE))</f>
        <v>0</v>
      </c>
      <c r="E80" s="523">
        <f>VLOOKUP(A80,'2324 Band Moderations'!$B$5:$S$21,8,(FALSE))</f>
        <v>0</v>
      </c>
      <c r="F80" s="523">
        <f>VLOOKUP(A80,'2324 Band Moderations'!$B$5:$S$21,10,(FALSE))</f>
        <v>1</v>
      </c>
      <c r="G80" s="523">
        <f>VLOOKUP(A80,'2324 Band Moderations'!$B$5:$S$21,12,(FALSE))</f>
        <v>0</v>
      </c>
      <c r="H80" s="523">
        <f>VLOOKUP(A80,'2324 Band Moderations'!$B$5:$S$21,14,(FALSE))</f>
        <v>0</v>
      </c>
      <c r="I80" s="523">
        <f>VLOOKUP(A80,'2324 Band Moderations'!$B$5:$S$21,16,(FALSE))</f>
        <v>0</v>
      </c>
      <c r="J80" s="523">
        <f>VLOOKUP(A80,'2324 Band Moderations'!$B$5:$S$21,18,(FALSE))</f>
        <v>0</v>
      </c>
      <c r="K80" s="162">
        <v>0</v>
      </c>
      <c r="L80" s="524">
        <f t="shared" si="14"/>
        <v>0</v>
      </c>
      <c r="M80" s="524">
        <v>0</v>
      </c>
      <c r="N80" s="524">
        <f t="shared" si="13"/>
        <v>0</v>
      </c>
      <c r="O80" s="525">
        <f t="shared" si="12"/>
        <v>0</v>
      </c>
      <c r="P80" s="525">
        <f>(VLOOKUP(A80,'2324 Funding Detail'!$A$4:$AA$20,25,FALSE)*8/12)*K80</f>
        <v>0</v>
      </c>
      <c r="Q80" s="65"/>
      <c r="R80" s="65">
        <f t="shared" si="15"/>
        <v>0</v>
      </c>
      <c r="S80" s="88"/>
      <c r="T80" s="93"/>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row>
    <row r="81" spans="1:56" x14ac:dyDescent="0.25">
      <c r="A81" s="74">
        <v>9257030</v>
      </c>
      <c r="B81" s="67" t="s">
        <v>383</v>
      </c>
      <c r="C81" s="121" t="s">
        <v>452</v>
      </c>
      <c r="D81" s="523">
        <f>VLOOKUP(A81,'2324 Band Moderations'!$B$5:$S$21,6,(FALSE))</f>
        <v>0</v>
      </c>
      <c r="E81" s="523">
        <f>VLOOKUP(A81,'2324 Band Moderations'!$B$5:$S$21,8,(FALSE))</f>
        <v>0</v>
      </c>
      <c r="F81" s="523">
        <f>VLOOKUP(A81,'2324 Band Moderations'!$B$5:$S$21,10,(FALSE))</f>
        <v>1</v>
      </c>
      <c r="G81" s="523">
        <f>VLOOKUP(A81,'2324 Band Moderations'!$B$5:$S$21,12,(FALSE))</f>
        <v>0</v>
      </c>
      <c r="H81" s="523">
        <f>VLOOKUP(A81,'2324 Band Moderations'!$B$5:$S$21,14,(FALSE))</f>
        <v>0</v>
      </c>
      <c r="I81" s="523">
        <f>VLOOKUP(A81,'2324 Band Moderations'!$B$5:$S$21,16,(FALSE))</f>
        <v>0</v>
      </c>
      <c r="J81" s="523">
        <f>VLOOKUP(A81,'2324 Band Moderations'!$B$5:$S$21,18,(FALSE))</f>
        <v>0</v>
      </c>
      <c r="K81" s="162">
        <v>0</v>
      </c>
      <c r="L81" s="524">
        <f t="shared" si="14"/>
        <v>0</v>
      </c>
      <c r="M81" s="524">
        <v>0</v>
      </c>
      <c r="N81" s="524">
        <f t="shared" si="13"/>
        <v>0</v>
      </c>
      <c r="O81" s="525">
        <f t="shared" si="12"/>
        <v>0</v>
      </c>
      <c r="P81" s="525">
        <f>(VLOOKUP(A81,'2324 Funding Detail'!$A$4:$AA$20,25,FALSE)*8/12)*K81</f>
        <v>0</v>
      </c>
      <c r="Q81" s="65"/>
      <c r="R81" s="65">
        <f t="shared" si="15"/>
        <v>0</v>
      </c>
      <c r="S81" s="88"/>
      <c r="T81" s="93"/>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row>
    <row r="82" spans="1:56" x14ac:dyDescent="0.25">
      <c r="A82" s="74">
        <v>9257028</v>
      </c>
      <c r="B82" s="67" t="s">
        <v>70</v>
      </c>
      <c r="C82" s="121">
        <v>5</v>
      </c>
      <c r="D82" s="523">
        <f>VLOOKUP(A82,'2324 Band Moderations'!$B$5:$S$21,6,(FALSE))</f>
        <v>9.0163934426229511E-2</v>
      </c>
      <c r="E82" s="523">
        <f>VLOOKUP(A82,'2324 Band Moderations'!$B$5:$S$21,8,(FALSE))</f>
        <v>0.45901639344262296</v>
      </c>
      <c r="F82" s="523">
        <f>VLOOKUP(A82,'2324 Band Moderations'!$B$5:$S$21,10,(FALSE))</f>
        <v>6.5573770491803282E-2</v>
      </c>
      <c r="G82" s="523">
        <f>VLOOKUP(A82,'2324 Band Moderations'!$B$5:$S$21,12,(FALSE))</f>
        <v>8.1967213114754092E-2</v>
      </c>
      <c r="H82" s="523">
        <f>VLOOKUP(A82,'2324 Band Moderations'!$B$5:$S$21,14,(FALSE))</f>
        <v>9.0163934426229511E-2</v>
      </c>
      <c r="I82" s="523">
        <f>VLOOKUP(A82,'2324 Band Moderations'!$B$5:$S$21,16,(FALSE))</f>
        <v>6.5573770491803282E-2</v>
      </c>
      <c r="J82" s="523">
        <f>VLOOKUP(A82,'2324 Band Moderations'!$B$5:$S$21,18,(FALSE))</f>
        <v>0.14754098360655737</v>
      </c>
      <c r="K82" s="162">
        <v>11</v>
      </c>
      <c r="L82" s="524">
        <f t="shared" si="14"/>
        <v>93092.098360655742</v>
      </c>
      <c r="M82" s="524">
        <v>0</v>
      </c>
      <c r="N82" s="524">
        <f t="shared" si="13"/>
        <v>93092.098360655742</v>
      </c>
      <c r="O82" s="525">
        <f t="shared" si="12"/>
        <v>73333.333333333328</v>
      </c>
      <c r="P82" s="525">
        <f>(VLOOKUP(A82,'2324 Funding Detail'!$A$4:$AA$20,25,FALSE)*8/12)*K82</f>
        <v>55325.567431168565</v>
      </c>
      <c r="Q82" s="65"/>
      <c r="R82" s="65">
        <f t="shared" si="15"/>
        <v>26406.491803278692</v>
      </c>
      <c r="S82" s="88"/>
      <c r="T82" s="93"/>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row>
    <row r="83" spans="1:56" x14ac:dyDescent="0.25">
      <c r="A83" s="74">
        <v>9257021</v>
      </c>
      <c r="B83" s="67" t="s">
        <v>71</v>
      </c>
      <c r="C83" s="121" t="s">
        <v>453</v>
      </c>
      <c r="D83" s="523">
        <f>VLOOKUP(A83,'2324 Band Moderations'!$B$5:$S$21,6,(FALSE))</f>
        <v>0.21176470588235294</v>
      </c>
      <c r="E83" s="523">
        <f>VLOOKUP(A83,'2324 Band Moderations'!$B$5:$S$21,8,(FALSE))</f>
        <v>0.52352941176470591</v>
      </c>
      <c r="F83" s="523">
        <f>VLOOKUP(A83,'2324 Band Moderations'!$B$5:$S$21,10,(FALSE))</f>
        <v>0.10588235294117647</v>
      </c>
      <c r="G83" s="523">
        <f>VLOOKUP(A83,'2324 Band Moderations'!$B$5:$S$21,12,(FALSE))</f>
        <v>7.0588235294117646E-2</v>
      </c>
      <c r="H83" s="523">
        <f>VLOOKUP(A83,'2324 Band Moderations'!$B$5:$S$21,14,(FALSE))</f>
        <v>2.9411764705882353E-2</v>
      </c>
      <c r="I83" s="523">
        <f>VLOOKUP(A83,'2324 Band Moderations'!$B$5:$S$21,16,(FALSE))</f>
        <v>4.7058823529411764E-2</v>
      </c>
      <c r="J83" s="523">
        <f>VLOOKUP(A83,'2324 Band Moderations'!$B$5:$S$21,18,(FALSE))</f>
        <v>1.1764705882352941E-2</v>
      </c>
      <c r="K83" s="162">
        <v>0</v>
      </c>
      <c r="L83" s="524">
        <f t="shared" si="14"/>
        <v>0</v>
      </c>
      <c r="M83" s="524">
        <v>0</v>
      </c>
      <c r="N83" s="524">
        <f t="shared" si="13"/>
        <v>0</v>
      </c>
      <c r="O83" s="525">
        <f t="shared" si="12"/>
        <v>0</v>
      </c>
      <c r="P83" s="525">
        <f>(VLOOKUP(A83,'2324 Funding Detail'!$A$4:$AA$20,25,FALSE)*8/12)*K83</f>
        <v>0</v>
      </c>
      <c r="Q83" s="65"/>
      <c r="R83" s="65">
        <f t="shared" si="15"/>
        <v>0</v>
      </c>
      <c r="S83" s="88"/>
      <c r="T83" s="93"/>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row>
    <row r="84" spans="1:56" x14ac:dyDescent="0.25">
      <c r="A84" s="74">
        <v>9257015</v>
      </c>
      <c r="B84" s="67" t="s">
        <v>72</v>
      </c>
      <c r="C84" s="121" t="s">
        <v>454</v>
      </c>
      <c r="D84" s="523">
        <f>VLOOKUP(A84,'2324 Band Moderations'!$B$5:$S$21,6,(FALSE))</f>
        <v>0.26991150442477874</v>
      </c>
      <c r="E84" s="523">
        <f>VLOOKUP(A84,'2324 Band Moderations'!$B$5:$S$21,8,(FALSE))</f>
        <v>0.42035398230088494</v>
      </c>
      <c r="F84" s="523">
        <f>VLOOKUP(A84,'2324 Band Moderations'!$B$5:$S$21,10,(FALSE))</f>
        <v>2.2123893805309734E-2</v>
      </c>
      <c r="G84" s="523">
        <f>VLOOKUP(A84,'2324 Band Moderations'!$B$5:$S$21,12,(FALSE))</f>
        <v>8.8495575221238937E-2</v>
      </c>
      <c r="H84" s="523">
        <f>VLOOKUP(A84,'2324 Band Moderations'!$B$5:$S$21,14,(FALSE))</f>
        <v>2.2123893805309734E-2</v>
      </c>
      <c r="I84" s="523">
        <f>VLOOKUP(A84,'2324 Band Moderations'!$B$5:$S$21,16,(FALSE))</f>
        <v>0.15929203539823009</v>
      </c>
      <c r="J84" s="523">
        <f>VLOOKUP(A84,'2324 Band Moderations'!$B$5:$S$21,18,(FALSE))</f>
        <v>1.7699115044247787E-2</v>
      </c>
      <c r="K84" s="162">
        <v>23</v>
      </c>
      <c r="L84" s="524">
        <f t="shared" si="14"/>
        <v>158745.25368731562</v>
      </c>
      <c r="M84" s="524">
        <v>0</v>
      </c>
      <c r="N84" s="524">
        <f t="shared" si="13"/>
        <v>158745.25368731562</v>
      </c>
      <c r="O84" s="525">
        <f t="shared" si="12"/>
        <v>153333.33333333331</v>
      </c>
      <c r="P84" s="525">
        <f>(VLOOKUP(A84,'2324 Funding Detail'!$A$4:$AA$20,25,FALSE)*8/12)*K84</f>
        <v>59633.422487694916</v>
      </c>
      <c r="Q84" s="65"/>
      <c r="R84" s="65">
        <f t="shared" si="15"/>
        <v>6623.4572271386423</v>
      </c>
      <c r="S84" s="88"/>
      <c r="T84" s="93"/>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row>
    <row r="85" spans="1:56" x14ac:dyDescent="0.25">
      <c r="A85" s="74">
        <v>9257016</v>
      </c>
      <c r="B85" s="67" t="s">
        <v>73</v>
      </c>
      <c r="C85" s="121" t="s">
        <v>454</v>
      </c>
      <c r="D85" s="523">
        <f>VLOOKUP(A85,'2324 Band Moderations'!$B$5:$S$21,6,(FALSE))</f>
        <v>0.11874999999999999</v>
      </c>
      <c r="E85" s="523">
        <f>VLOOKUP(A85,'2324 Band Moderations'!$B$5:$S$21,8,(FALSE))</f>
        <v>0.21249999999999999</v>
      </c>
      <c r="F85" s="523">
        <f>VLOOKUP(A85,'2324 Band Moderations'!$B$5:$S$21,10,(FALSE))</f>
        <v>1.2500000000000001E-2</v>
      </c>
      <c r="G85" s="523">
        <f>VLOOKUP(A85,'2324 Band Moderations'!$B$5:$S$21,12,(FALSE))</f>
        <v>0.24374999999999999</v>
      </c>
      <c r="H85" s="523">
        <f>VLOOKUP(A85,'2324 Band Moderations'!$B$5:$S$21,14,(FALSE))</f>
        <v>0.18124999999999999</v>
      </c>
      <c r="I85" s="523">
        <f>VLOOKUP(A85,'2324 Band Moderations'!$B$5:$S$21,16,(FALSE))</f>
        <v>1.8749999999999999E-2</v>
      </c>
      <c r="J85" s="523">
        <f>VLOOKUP(A85,'2324 Band Moderations'!$B$5:$S$21,18,(FALSE))</f>
        <v>0.21249999999999999</v>
      </c>
      <c r="K85" s="162">
        <v>51</v>
      </c>
      <c r="L85" s="524">
        <f t="shared" si="14"/>
        <v>507240.47500000009</v>
      </c>
      <c r="M85" s="524">
        <v>0</v>
      </c>
      <c r="N85" s="524">
        <f t="shared" si="13"/>
        <v>507240.47500000009</v>
      </c>
      <c r="O85" s="525">
        <f t="shared" si="12"/>
        <v>340000</v>
      </c>
      <c r="P85" s="525">
        <f>(VLOOKUP(A85,'2324 Funding Detail'!$A$4:$AA$20,25,FALSE)*8/12)*K85</f>
        <v>329804.24614026246</v>
      </c>
      <c r="Q85" s="107" t="s">
        <v>62</v>
      </c>
      <c r="R85" s="65">
        <f t="shared" si="15"/>
        <v>176333.35</v>
      </c>
      <c r="S85" s="88"/>
      <c r="T85" s="93"/>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row>
    <row r="86" spans="1:56" x14ac:dyDescent="0.25">
      <c r="A86" s="15"/>
      <c r="B86" s="15"/>
      <c r="C86" s="15"/>
      <c r="D86" s="15"/>
      <c r="E86" s="15"/>
      <c r="F86" s="107" t="s">
        <v>62</v>
      </c>
      <c r="G86" s="15"/>
      <c r="H86" s="64"/>
      <c r="I86" s="107" t="s">
        <v>62</v>
      </c>
      <c r="J86" s="15"/>
      <c r="K86" s="15"/>
      <c r="L86" s="15"/>
      <c r="M86" s="15"/>
      <c r="N86" s="15"/>
      <c r="O86" s="15"/>
      <c r="P86" s="15"/>
      <c r="Q86" s="15"/>
      <c r="R86" s="64"/>
      <c r="S86" s="100"/>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row>
    <row r="87" spans="1:56" x14ac:dyDescent="0.25">
      <c r="A87" s="15"/>
      <c r="B87" s="15"/>
      <c r="C87" s="15"/>
      <c r="D87" s="15"/>
      <c r="E87" s="15"/>
      <c r="F87" s="15"/>
      <c r="G87" s="64" t="s">
        <v>740</v>
      </c>
      <c r="H87" s="15"/>
      <c r="I87" s="64"/>
      <c r="J87" s="64"/>
      <c r="K87" s="15"/>
      <c r="L87" s="15"/>
      <c r="M87" s="15"/>
      <c r="N87" s="15"/>
      <c r="O87" s="15"/>
      <c r="P87" s="15"/>
      <c r="Q87" s="15"/>
      <c r="R87" s="64"/>
      <c r="S87" s="100"/>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row>
    <row r="88" spans="1:56" ht="13" x14ac:dyDescent="0.3">
      <c r="A88" s="15"/>
      <c r="B88" s="348" t="s">
        <v>489</v>
      </c>
      <c r="C88" s="15"/>
      <c r="D88" s="15"/>
      <c r="E88" s="15" t="s">
        <v>229</v>
      </c>
      <c r="F88" s="15"/>
      <c r="G88" s="692">
        <v>6630</v>
      </c>
      <c r="H88" s="94"/>
      <c r="I88" s="696">
        <v>6629.7387874813903</v>
      </c>
      <c r="J88" s="94"/>
      <c r="K88" s="94"/>
      <c r="L88" s="94"/>
      <c r="M88" s="94"/>
      <c r="N88" s="94"/>
      <c r="O88" s="94"/>
      <c r="P88" s="94"/>
      <c r="Q88" s="94"/>
      <c r="R88" s="64"/>
      <c r="S88" s="100"/>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row>
    <row r="89" spans="1:56" x14ac:dyDescent="0.25">
      <c r="A89" s="15"/>
      <c r="B89" s="15"/>
      <c r="C89" s="15"/>
      <c r="D89" s="15"/>
      <c r="E89" s="15"/>
      <c r="F89" s="15"/>
      <c r="G89" s="692"/>
      <c r="H89" s="94"/>
      <c r="I89" s="696"/>
      <c r="J89" s="94"/>
      <c r="K89" s="94"/>
      <c r="L89" s="94"/>
      <c r="M89" s="94"/>
      <c r="N89" s="94"/>
      <c r="O89" s="94"/>
      <c r="P89" s="94"/>
      <c r="Q89" s="94"/>
      <c r="R89" s="64"/>
      <c r="S89" s="100"/>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row>
    <row r="90" spans="1:56" x14ac:dyDescent="0.25">
      <c r="A90" s="15"/>
      <c r="B90" s="15"/>
      <c r="C90" s="15"/>
      <c r="D90" s="15"/>
      <c r="E90" s="15" t="s">
        <v>230</v>
      </c>
      <c r="F90" s="15"/>
      <c r="G90" s="692">
        <v>7894</v>
      </c>
      <c r="H90" s="94"/>
      <c r="I90" s="696">
        <v>7893.8622831835082</v>
      </c>
      <c r="J90" s="94"/>
      <c r="K90" s="94"/>
      <c r="L90" s="94"/>
      <c r="M90" s="94"/>
      <c r="N90" s="94"/>
      <c r="O90" s="94"/>
      <c r="P90" s="94"/>
      <c r="Q90" s="94"/>
      <c r="R90" s="64"/>
      <c r="S90" s="100"/>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row>
    <row r="91" spans="1:56" x14ac:dyDescent="0.25">
      <c r="A91" s="15"/>
      <c r="B91" s="15"/>
      <c r="C91" s="15"/>
      <c r="D91" s="15"/>
      <c r="E91" s="15"/>
      <c r="F91" s="15"/>
      <c r="G91" s="692"/>
      <c r="H91" s="94"/>
      <c r="I91" s="697"/>
      <c r="J91" s="94"/>
      <c r="K91" s="94"/>
      <c r="L91" s="94"/>
      <c r="M91" s="94"/>
      <c r="N91" s="94"/>
      <c r="O91" s="94"/>
      <c r="P91" s="94"/>
      <c r="Q91" s="94"/>
      <c r="R91" s="64"/>
      <c r="S91" s="100"/>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row>
    <row r="92" spans="1:56" x14ac:dyDescent="0.25">
      <c r="A92" s="15"/>
      <c r="B92" s="15"/>
      <c r="C92" s="15"/>
      <c r="D92" s="15"/>
      <c r="E92" s="15" t="s">
        <v>236</v>
      </c>
      <c r="F92" s="15"/>
      <c r="G92" s="692">
        <v>15567</v>
      </c>
      <c r="H92" s="94"/>
      <c r="I92" s="697">
        <v>15566.242001721244</v>
      </c>
      <c r="J92" s="94"/>
      <c r="K92" s="94"/>
      <c r="L92" s="94"/>
      <c r="M92" s="94"/>
      <c r="N92" s="94"/>
      <c r="O92" s="94"/>
      <c r="P92" s="94"/>
      <c r="Q92" s="94"/>
      <c r="R92" s="64"/>
      <c r="S92" s="100"/>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row>
    <row r="93" spans="1:56" x14ac:dyDescent="0.25">
      <c r="A93" s="15"/>
      <c r="B93" s="15"/>
      <c r="C93" s="15"/>
      <c r="D93" s="15"/>
      <c r="E93" s="15"/>
      <c r="F93" s="15"/>
      <c r="G93" s="692"/>
      <c r="H93" s="94"/>
      <c r="I93" s="697"/>
      <c r="J93" s="94"/>
      <c r="K93" s="94"/>
      <c r="L93" s="94"/>
      <c r="M93" s="94"/>
      <c r="N93" s="94"/>
      <c r="O93" s="94"/>
      <c r="P93" s="94"/>
      <c r="Q93" s="94"/>
      <c r="R93" s="64"/>
      <c r="S93" s="100"/>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64"/>
      <c r="AY93" s="64"/>
      <c r="AZ93" s="15"/>
      <c r="BA93" s="15"/>
      <c r="BB93" s="64"/>
      <c r="BC93" s="64"/>
      <c r="BD93" s="64"/>
    </row>
    <row r="94" spans="1:56" x14ac:dyDescent="0.25">
      <c r="A94" s="15"/>
      <c r="B94" s="15"/>
      <c r="C94" s="15"/>
      <c r="D94" s="15"/>
      <c r="E94" s="15" t="s">
        <v>232</v>
      </c>
      <c r="F94" s="15"/>
      <c r="G94" s="692">
        <v>15892</v>
      </c>
      <c r="H94" s="94"/>
      <c r="I94" s="697">
        <v>15891.374146010701</v>
      </c>
      <c r="J94" s="94"/>
      <c r="K94" s="94"/>
      <c r="L94" s="94"/>
      <c r="M94" s="94"/>
      <c r="N94" s="94"/>
      <c r="O94" s="94"/>
      <c r="P94" s="94"/>
      <c r="Q94" s="94"/>
      <c r="R94" s="64"/>
      <c r="S94" s="100"/>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64"/>
      <c r="AY94" s="64"/>
      <c r="AZ94" s="15"/>
      <c r="BA94" s="15"/>
      <c r="BB94" s="64"/>
      <c r="BC94" s="64"/>
      <c r="BD94" s="64"/>
    </row>
    <row r="95" spans="1:56" x14ac:dyDescent="0.25">
      <c r="A95" s="15"/>
      <c r="B95" s="15"/>
      <c r="C95" s="15"/>
      <c r="D95" s="15"/>
      <c r="E95" s="15"/>
      <c r="F95" s="15"/>
      <c r="G95" s="692"/>
      <c r="H95" s="94"/>
      <c r="I95" s="697"/>
      <c r="J95" s="94"/>
      <c r="K95" s="94"/>
      <c r="L95" s="94"/>
      <c r="M95" s="94"/>
      <c r="N95" s="94"/>
      <c r="O95" s="94"/>
      <c r="P95" s="94"/>
      <c r="Q95" s="94"/>
      <c r="R95" s="64"/>
      <c r="S95" s="100"/>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64"/>
      <c r="AY95" s="64"/>
      <c r="AZ95" s="15"/>
      <c r="BA95" s="15"/>
      <c r="BB95" s="64"/>
      <c r="BC95" s="64"/>
      <c r="BD95" s="64"/>
    </row>
    <row r="96" spans="1:56" x14ac:dyDescent="0.25">
      <c r="A96" s="15"/>
      <c r="B96" s="15"/>
      <c r="C96" s="15"/>
      <c r="D96" s="15"/>
      <c r="E96" s="15" t="s">
        <v>233</v>
      </c>
      <c r="F96" s="15"/>
      <c r="G96" s="692">
        <v>15892</v>
      </c>
      <c r="H96" s="94"/>
      <c r="I96" s="697">
        <v>15891.374146010701</v>
      </c>
      <c r="J96" s="94"/>
      <c r="K96" s="94"/>
      <c r="L96" s="94"/>
      <c r="M96" s="94"/>
      <c r="N96" s="94"/>
      <c r="O96" s="94"/>
      <c r="P96" s="94"/>
      <c r="Q96" s="94"/>
      <c r="R96" s="64"/>
      <c r="S96" s="100"/>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64"/>
      <c r="AY96" s="64"/>
      <c r="AZ96" s="15"/>
      <c r="BA96" s="15"/>
      <c r="BB96" s="64"/>
      <c r="BC96" s="64"/>
      <c r="BD96" s="64"/>
    </row>
    <row r="97" spans="1:56" x14ac:dyDescent="0.25">
      <c r="A97" s="15"/>
      <c r="B97" s="15"/>
      <c r="C97" s="15"/>
      <c r="D97" s="15"/>
      <c r="E97" s="15"/>
      <c r="F97" s="15"/>
      <c r="G97" s="692"/>
      <c r="H97" s="94"/>
      <c r="I97" s="697"/>
      <c r="J97" s="94"/>
      <c r="K97" s="94"/>
      <c r="L97" s="94"/>
      <c r="M97" s="94"/>
      <c r="N97" s="94"/>
      <c r="O97" s="94"/>
      <c r="P97" s="94"/>
      <c r="Q97" s="94"/>
      <c r="R97" s="64"/>
      <c r="S97" s="100"/>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64"/>
      <c r="AY97" s="64"/>
      <c r="AZ97" s="15"/>
      <c r="BA97" s="15"/>
      <c r="BB97" s="64"/>
      <c r="BC97" s="64"/>
      <c r="BD97" s="64"/>
    </row>
    <row r="98" spans="1:56" x14ac:dyDescent="0.25">
      <c r="A98" s="15"/>
      <c r="B98" s="15"/>
      <c r="C98" s="15"/>
      <c r="D98" s="15"/>
      <c r="E98" s="15" t="s">
        <v>234</v>
      </c>
      <c r="F98" s="15"/>
      <c r="G98" s="692">
        <v>17018</v>
      </c>
      <c r="H98" s="94"/>
      <c r="I98" s="697">
        <v>17017.907345507989</v>
      </c>
      <c r="J98" s="94"/>
      <c r="K98" s="94"/>
      <c r="L98" s="94"/>
      <c r="M98" s="94"/>
      <c r="N98" s="94"/>
      <c r="O98" s="94"/>
      <c r="P98" s="94"/>
      <c r="Q98" s="94"/>
      <c r="R98" s="64"/>
      <c r="S98" s="100"/>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64"/>
      <c r="AY98" s="64"/>
      <c r="AZ98" s="15"/>
      <c r="BA98" s="15"/>
      <c r="BB98" s="64"/>
      <c r="BC98" s="64"/>
      <c r="BD98" s="64"/>
    </row>
    <row r="99" spans="1:56" x14ac:dyDescent="0.25">
      <c r="A99" s="15"/>
      <c r="B99" s="15"/>
      <c r="C99" s="15"/>
      <c r="D99" s="15"/>
      <c r="E99" s="15"/>
      <c r="F99" s="15"/>
      <c r="G99" s="692"/>
      <c r="H99" s="94"/>
      <c r="I99" s="697"/>
      <c r="J99" s="94"/>
      <c r="K99" s="94"/>
      <c r="L99" s="94"/>
      <c r="M99" s="94"/>
      <c r="N99" s="94"/>
      <c r="O99" s="94"/>
      <c r="P99" s="94"/>
      <c r="Q99" s="94"/>
      <c r="R99" s="64"/>
      <c r="S99" s="100"/>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64"/>
      <c r="AY99" s="64"/>
      <c r="AZ99" s="15"/>
      <c r="BA99" s="15"/>
      <c r="BB99" s="64"/>
      <c r="BC99" s="64"/>
      <c r="BD99" s="64"/>
    </row>
    <row r="100" spans="1:56" x14ac:dyDescent="0.25">
      <c r="A100" s="15"/>
      <c r="B100" s="15"/>
      <c r="C100" s="15"/>
      <c r="D100" s="15"/>
      <c r="E100" s="15" t="s">
        <v>235</v>
      </c>
      <c r="F100" s="15"/>
      <c r="G100" s="692">
        <v>24406</v>
      </c>
      <c r="H100" s="94"/>
      <c r="I100" s="697">
        <v>24405.30647709607</v>
      </c>
      <c r="J100" s="94"/>
      <c r="K100" s="94"/>
      <c r="L100" s="94"/>
      <c r="M100" s="94"/>
      <c r="N100" s="94"/>
      <c r="O100" s="94"/>
      <c r="P100" s="94"/>
      <c r="Q100" s="94"/>
      <c r="R100" s="64"/>
      <c r="S100" s="100"/>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64"/>
      <c r="AY100" s="64"/>
      <c r="AZ100" s="15"/>
      <c r="BA100" s="15"/>
      <c r="BB100" s="64"/>
      <c r="BC100" s="64"/>
      <c r="BD100" s="64"/>
    </row>
    <row r="101" spans="1:56" ht="14" x14ac:dyDescent="0.3">
      <c r="A101" s="15"/>
      <c r="B101" s="16"/>
      <c r="C101" s="17"/>
      <c r="D101" s="18"/>
      <c r="E101" s="94"/>
      <c r="F101" s="15"/>
      <c r="G101" s="65"/>
      <c r="H101" s="95"/>
      <c r="I101" s="145"/>
      <c r="J101" s="94"/>
      <c r="K101" s="95"/>
      <c r="L101" s="95"/>
      <c r="M101" s="95"/>
      <c r="N101" s="95"/>
      <c r="O101" s="95"/>
      <c r="P101" s="95"/>
      <c r="Q101" s="95"/>
      <c r="R101" s="64"/>
      <c r="S101" s="100"/>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64"/>
      <c r="AY101" s="64"/>
      <c r="AZ101" s="15"/>
      <c r="BA101" s="15"/>
      <c r="BB101" s="64"/>
      <c r="BC101" s="64"/>
      <c r="BD101" s="64"/>
    </row>
    <row r="102" spans="1:56" ht="14" x14ac:dyDescent="0.3">
      <c r="A102" s="15"/>
      <c r="B102" s="19"/>
      <c r="C102" s="17"/>
      <c r="D102" s="15"/>
      <c r="E102" s="15" t="s">
        <v>490</v>
      </c>
      <c r="F102" s="15"/>
      <c r="G102" s="65" t="s">
        <v>153</v>
      </c>
      <c r="H102" s="94"/>
      <c r="I102" s="145"/>
      <c r="J102" s="94"/>
      <c r="K102" s="94"/>
      <c r="L102" s="94"/>
      <c r="M102" s="94"/>
      <c r="N102" s="94"/>
      <c r="O102" s="94"/>
      <c r="P102" s="94"/>
      <c r="Q102" s="94"/>
      <c r="R102" s="64"/>
      <c r="S102" s="100"/>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64"/>
      <c r="AY102" s="64"/>
      <c r="AZ102" s="15"/>
      <c r="BA102" s="15"/>
      <c r="BB102" s="64"/>
      <c r="BC102" s="64"/>
      <c r="BD102" s="64"/>
    </row>
    <row r="103" spans="1:56" x14ac:dyDescent="0.25">
      <c r="A103" s="15"/>
      <c r="B103" s="15"/>
      <c r="C103" s="15"/>
      <c r="D103" s="15"/>
      <c r="E103" s="15"/>
      <c r="F103" s="145"/>
      <c r="G103" s="64"/>
      <c r="H103" s="15"/>
      <c r="I103" s="15"/>
      <c r="J103" s="15"/>
      <c r="K103" s="15"/>
      <c r="L103" s="15"/>
      <c r="M103" s="15"/>
      <c r="N103" s="15"/>
      <c r="O103" s="15"/>
      <c r="P103" s="15"/>
      <c r="Q103" s="15"/>
      <c r="R103" s="64"/>
      <c r="S103" s="100"/>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64"/>
      <c r="AQ103" s="64"/>
      <c r="AR103" s="15"/>
      <c r="AS103" s="15"/>
      <c r="AT103" s="64"/>
      <c r="AU103" s="64"/>
      <c r="AV103" s="64"/>
      <c r="AW103" s="15"/>
      <c r="AX103" s="15"/>
      <c r="AY103" s="15"/>
      <c r="AZ103" s="15"/>
      <c r="BA103" s="15"/>
      <c r="BB103" s="15"/>
      <c r="BC103" s="15"/>
      <c r="BD103" s="15"/>
    </row>
    <row r="104" spans="1:56" ht="12.75" customHeight="1" x14ac:dyDescent="0.3">
      <c r="A104" s="15"/>
      <c r="B104" s="15"/>
      <c r="C104" s="15"/>
      <c r="D104" s="1110" t="s">
        <v>101</v>
      </c>
      <c r="E104" s="1111"/>
      <c r="F104" s="1112"/>
      <c r="G104" s="1110" t="s">
        <v>88</v>
      </c>
      <c r="H104" s="1111"/>
      <c r="I104" s="1112"/>
      <c r="J104" s="56" t="s">
        <v>102</v>
      </c>
      <c r="K104" s="1110" t="s">
        <v>101</v>
      </c>
      <c r="L104" s="1111"/>
      <c r="M104" s="1112"/>
      <c r="N104" s="1110" t="s">
        <v>88</v>
      </c>
      <c r="O104" s="1111"/>
      <c r="P104" s="1112"/>
      <c r="Q104" s="56" t="s">
        <v>102</v>
      </c>
      <c r="R104" s="160" t="s">
        <v>102</v>
      </c>
      <c r="S104" s="161"/>
      <c r="T104" s="57"/>
      <c r="U104" s="15"/>
      <c r="V104" s="15"/>
      <c r="W104" s="15"/>
      <c r="X104" s="15"/>
      <c r="Y104" s="15"/>
      <c r="Z104" s="15"/>
      <c r="AA104" s="15"/>
      <c r="AB104" s="15"/>
      <c r="AC104" s="15"/>
      <c r="AD104" s="15"/>
      <c r="AE104" s="15"/>
      <c r="AF104" s="15"/>
      <c r="AG104" s="15"/>
      <c r="AH104" s="15"/>
      <c r="AI104" s="15"/>
      <c r="AJ104" s="15"/>
      <c r="AK104" s="1106" t="s">
        <v>103</v>
      </c>
      <c r="AL104" s="15"/>
      <c r="AM104" s="15"/>
      <c r="AN104" s="64"/>
      <c r="AO104" s="64"/>
      <c r="AP104" s="15"/>
      <c r="AQ104" s="15"/>
      <c r="AR104" s="64"/>
      <c r="AS104" s="64"/>
      <c r="AT104" s="64"/>
      <c r="AU104" s="15"/>
      <c r="AV104" s="15"/>
      <c r="AW104" s="15"/>
      <c r="AX104" s="15"/>
      <c r="AY104" s="15"/>
      <c r="AZ104" s="15"/>
      <c r="BA104" s="15"/>
      <c r="BB104" s="15"/>
      <c r="BC104" s="15"/>
      <c r="BD104" s="15"/>
    </row>
    <row r="105" spans="1:56" ht="41.25" customHeight="1" x14ac:dyDescent="0.3">
      <c r="A105" s="96" t="s">
        <v>48</v>
      </c>
      <c r="B105" s="97" t="s">
        <v>49</v>
      </c>
      <c r="C105" s="68" t="s">
        <v>50</v>
      </c>
      <c r="D105" s="71" t="str">
        <f t="shared" ref="D105:D122" si="16">L5</f>
        <v>Pre-16 Funding (Apr-Aug)</v>
      </c>
      <c r="E105" s="72" t="str">
        <f t="shared" ref="E105:E122" si="17">L47</f>
        <v>Pre-16 Funding (Sept-Mar)</v>
      </c>
      <c r="F105" s="36" t="s">
        <v>104</v>
      </c>
      <c r="G105" s="72" t="str">
        <f t="shared" ref="G105:G122" si="18">L26</f>
        <v>Post-16 Funding (Apr-Jul)</v>
      </c>
      <c r="H105" s="71" t="str">
        <f t="shared" ref="H105:H122" si="19">L68</f>
        <v>Post-16 Funding (Aug-Mar)</v>
      </c>
      <c r="I105" s="36" t="s">
        <v>105</v>
      </c>
      <c r="J105" s="36" t="s">
        <v>106</v>
      </c>
      <c r="K105" s="71" t="str">
        <f t="shared" ref="K105:K122" si="20">M5</f>
        <v>Additionality Funding (Apr-Aug)</v>
      </c>
      <c r="L105" s="71" t="str">
        <f t="shared" ref="L105:L122" si="21">M47</f>
        <v>Additionality Funding (Sept-Mar)</v>
      </c>
      <c r="M105" s="36" t="s">
        <v>107</v>
      </c>
      <c r="N105" s="71" t="str">
        <f t="shared" ref="N105:N122" si="22">M26</f>
        <v>Additionality Funding (Apr-Jul)</v>
      </c>
      <c r="O105" s="72" t="str">
        <f t="shared" ref="O105:O122" si="23">M68</f>
        <v>Additionality Funding (Aug-Mar)</v>
      </c>
      <c r="P105" s="36" t="s">
        <v>107</v>
      </c>
      <c r="Q105" s="36" t="s">
        <v>108</v>
      </c>
      <c r="R105" s="36" t="s">
        <v>54</v>
      </c>
      <c r="S105" s="526" t="s">
        <v>109</v>
      </c>
      <c r="T105" s="71" t="s">
        <v>110</v>
      </c>
      <c r="U105" s="71" t="s">
        <v>277</v>
      </c>
      <c r="V105" s="71" t="s">
        <v>111</v>
      </c>
      <c r="W105" s="71" t="s">
        <v>91</v>
      </c>
      <c r="X105" s="36" t="s">
        <v>112</v>
      </c>
      <c r="Y105" s="112" t="s">
        <v>54</v>
      </c>
      <c r="Z105" s="577" t="s">
        <v>327</v>
      </c>
      <c r="AA105" s="577" t="s">
        <v>328</v>
      </c>
      <c r="AB105" s="71" t="s">
        <v>58</v>
      </c>
      <c r="AC105" s="71" t="s">
        <v>113</v>
      </c>
      <c r="AD105" s="71" t="s">
        <v>114</v>
      </c>
      <c r="AE105" s="36" t="s">
        <v>115</v>
      </c>
      <c r="AF105" s="71" t="s">
        <v>116</v>
      </c>
      <c r="AG105" s="71" t="s">
        <v>117</v>
      </c>
      <c r="AH105" s="36" t="s">
        <v>118</v>
      </c>
      <c r="AI105" s="36" t="s">
        <v>119</v>
      </c>
      <c r="AJ105" s="97"/>
      <c r="AK105" s="1107"/>
      <c r="AL105" s="15"/>
      <c r="AM105" s="15"/>
      <c r="AN105" s="23" t="s">
        <v>741</v>
      </c>
      <c r="AO105" s="368"/>
      <c r="AP105" s="368"/>
      <c r="AQ105" s="527"/>
      <c r="AR105" s="369"/>
      <c r="AS105" s="368"/>
      <c r="AT105" s="370"/>
      <c r="AU105" s="15"/>
      <c r="AV105" s="15"/>
      <c r="AW105" s="15"/>
      <c r="AX105" s="15"/>
      <c r="AY105" s="15"/>
      <c r="AZ105" s="15"/>
      <c r="BA105" s="15"/>
      <c r="BB105" s="15"/>
      <c r="BC105" s="15"/>
      <c r="BD105" s="15"/>
    </row>
    <row r="106" spans="1:56" ht="13" x14ac:dyDescent="0.3">
      <c r="A106" s="74">
        <v>9257010</v>
      </c>
      <c r="B106" s="67" t="s">
        <v>60</v>
      </c>
      <c r="C106" s="68">
        <v>4</v>
      </c>
      <c r="D106" s="75">
        <f t="shared" si="16"/>
        <v>572025.28523489938</v>
      </c>
      <c r="E106" s="75">
        <f t="shared" si="17"/>
        <v>857034.37472035794</v>
      </c>
      <c r="F106" s="22">
        <f>SUM(D106:E106)</f>
        <v>1429059.6599552573</v>
      </c>
      <c r="G106" s="75">
        <f t="shared" si="18"/>
        <v>48170.550335570457</v>
      </c>
      <c r="H106" s="75">
        <f t="shared" si="19"/>
        <v>200710.6263982103</v>
      </c>
      <c r="I106" s="22">
        <f>SUM(G106:H106)</f>
        <v>248881.17673378077</v>
      </c>
      <c r="J106" s="22">
        <f>F106+I106</f>
        <v>1677940.8366890382</v>
      </c>
      <c r="K106" s="75">
        <f t="shared" si="20"/>
        <v>0</v>
      </c>
      <c r="L106" s="75">
        <f t="shared" si="21"/>
        <v>0</v>
      </c>
      <c r="M106" s="22">
        <f>SUM(K106:L106)</f>
        <v>0</v>
      </c>
      <c r="N106" s="75">
        <f t="shared" si="22"/>
        <v>0</v>
      </c>
      <c r="O106" s="75">
        <f t="shared" si="23"/>
        <v>0</v>
      </c>
      <c r="P106" s="22">
        <f>SUM(N106:O106)</f>
        <v>0</v>
      </c>
      <c r="Q106" s="22">
        <f>M106+P106</f>
        <v>0</v>
      </c>
      <c r="R106" s="22">
        <f t="shared" ref="R106:R122" si="24">F106+I106+M106+P106</f>
        <v>1677940.8366890382</v>
      </c>
      <c r="S106" s="98">
        <f t="shared" ref="S106:S122" si="25">(K6*(5/12))+(K48*(7/12))+(K27*(4/12))+(K69*(8/12))</f>
        <v>139.33333333333334</v>
      </c>
      <c r="T106" s="75">
        <f>R106/S106</f>
        <v>12042.637583892618</v>
      </c>
      <c r="U106" s="67"/>
      <c r="V106" s="75">
        <f t="shared" ref="V106:V122" si="26">O6+O48</f>
        <v>1186666.6666666667</v>
      </c>
      <c r="W106" s="75">
        <f t="shared" ref="W106:W122" si="27">O27+O69</f>
        <v>206666.66666666666</v>
      </c>
      <c r="X106" s="75">
        <f>V106+W106</f>
        <v>1393333.3333333335</v>
      </c>
      <c r="Y106" s="75">
        <f>VLOOKUP(A106,'2324 Funding Detail'!$A$4:$AA$20,18,FALSE)</f>
        <v>2363858.6782198935</v>
      </c>
      <c r="Z106" s="75"/>
      <c r="AA106" s="75"/>
      <c r="AB106" s="75">
        <f>Y106-X106-Z106-AA106</f>
        <v>970525.34488655999</v>
      </c>
      <c r="AC106" s="75">
        <f t="shared" ref="AC106:AC122" si="28">P6</f>
        <v>330860.91302950907</v>
      </c>
      <c r="AD106" s="75">
        <f t="shared" ref="AD106:AD122" si="29">P48</f>
        <v>495710.91180210671</v>
      </c>
      <c r="AE106" s="75">
        <f>AC106+AD106</f>
        <v>826571.82483161578</v>
      </c>
      <c r="AF106" s="75">
        <f t="shared" ref="AF106:AF122" si="30">P27</f>
        <v>27861.971623537611</v>
      </c>
      <c r="AG106" s="75">
        <f t="shared" ref="AG106:AG122" si="31">P69</f>
        <v>116091.5484314067</v>
      </c>
      <c r="AH106" s="75">
        <f>AF106+AG106</f>
        <v>143953.52005494433</v>
      </c>
      <c r="AI106" s="75">
        <f>AE106+AH106</f>
        <v>970525.34488656011</v>
      </c>
      <c r="AJ106" s="99"/>
      <c r="AK106" s="528">
        <f>X106+AE106+AH106</f>
        <v>2363858.6782198935</v>
      </c>
      <c r="AL106" s="76" t="s">
        <v>61</v>
      </c>
      <c r="AM106" s="105"/>
      <c r="AN106" s="65">
        <f>SUM(R6,R27,R48,R69)</f>
        <v>273871.35570469795</v>
      </c>
      <c r="AO106" s="89"/>
      <c r="AP106" s="89"/>
      <c r="AQ106" s="527"/>
      <c r="AR106" s="529"/>
      <c r="AS106" s="529"/>
      <c r="AT106" s="529"/>
      <c r="AU106" s="15"/>
      <c r="AV106" s="15"/>
      <c r="AW106" s="15"/>
      <c r="AX106" s="15"/>
      <c r="AY106" s="15"/>
      <c r="AZ106" s="15"/>
      <c r="BA106" s="15"/>
      <c r="BB106" s="15"/>
      <c r="BC106" s="15"/>
      <c r="BD106" s="15"/>
    </row>
    <row r="107" spans="1:56" ht="13" x14ac:dyDescent="0.3">
      <c r="A107" s="74">
        <v>9257005</v>
      </c>
      <c r="B107" s="67" t="s">
        <v>63</v>
      </c>
      <c r="C107" s="68">
        <v>4</v>
      </c>
      <c r="D107" s="75">
        <f t="shared" si="16"/>
        <v>320948.22769953054</v>
      </c>
      <c r="E107" s="75">
        <f t="shared" si="17"/>
        <v>411248.91549295781</v>
      </c>
      <c r="F107" s="22">
        <f t="shared" ref="F107:F122" si="32">SUM(D107:E107)</f>
        <v>732197.14319248835</v>
      </c>
      <c r="G107" s="75">
        <f t="shared" si="18"/>
        <v>134907.05164319248</v>
      </c>
      <c r="H107" s="75">
        <f t="shared" si="19"/>
        <v>174073.61502347418</v>
      </c>
      <c r="I107" s="22">
        <f t="shared" ref="I107:I122" si="33">SUM(G107:H107)</f>
        <v>308980.66666666663</v>
      </c>
      <c r="J107" s="22">
        <f t="shared" ref="J107:J121" si="34">F107+I107</f>
        <v>1041177.809859155</v>
      </c>
      <c r="K107" s="75">
        <f t="shared" si="20"/>
        <v>0</v>
      </c>
      <c r="L107" s="75">
        <f t="shared" si="21"/>
        <v>0</v>
      </c>
      <c r="M107" s="22">
        <f t="shared" ref="M107:M122" si="35">SUM(K107:L107)</f>
        <v>0</v>
      </c>
      <c r="N107" s="75">
        <f t="shared" si="22"/>
        <v>0</v>
      </c>
      <c r="O107" s="75">
        <f t="shared" si="23"/>
        <v>0</v>
      </c>
      <c r="P107" s="22">
        <f t="shared" ref="P107:P122" si="36">SUM(N107:O107)</f>
        <v>0</v>
      </c>
      <c r="Q107" s="22">
        <f t="shared" ref="Q107:Q122" si="37">M107+P107</f>
        <v>0</v>
      </c>
      <c r="R107" s="22">
        <f t="shared" si="24"/>
        <v>1041177.809859155</v>
      </c>
      <c r="S107" s="98">
        <f t="shared" si="25"/>
        <v>79.75</v>
      </c>
      <c r="T107" s="75">
        <f t="shared" ref="T107:T122" si="38">R107/S107</f>
        <v>13055.521126760565</v>
      </c>
      <c r="U107" s="67"/>
      <c r="V107" s="75">
        <f t="shared" si="26"/>
        <v>560833.33333333337</v>
      </c>
      <c r="W107" s="75">
        <f t="shared" si="27"/>
        <v>236666.66666666663</v>
      </c>
      <c r="X107" s="75">
        <f t="shared" ref="X107:X122" si="39">V107+W107</f>
        <v>797500</v>
      </c>
      <c r="Y107" s="75">
        <f>VLOOKUP(A107,'2324 Funding Detail'!$A$4:$AA$20,18,FALSE)</f>
        <v>1567906.809859155</v>
      </c>
      <c r="Z107" s="75"/>
      <c r="AA107" s="75"/>
      <c r="AB107" s="75">
        <f t="shared" ref="AB107:AB122" si="40">Y107-X107-Z107-AA107</f>
        <v>770406.80985915498</v>
      </c>
      <c r="AC107" s="75">
        <f t="shared" si="28"/>
        <v>237481.72299733621</v>
      </c>
      <c r="AD107" s="75">
        <f t="shared" si="29"/>
        <v>304298.61455251893</v>
      </c>
      <c r="AE107" s="75">
        <f t="shared" ref="AE107:AE122" si="41">AC107+AD107</f>
        <v>541780.33754985512</v>
      </c>
      <c r="AF107" s="75">
        <f t="shared" si="30"/>
        <v>99822.825937863337</v>
      </c>
      <c r="AG107" s="75">
        <f t="shared" si="31"/>
        <v>128803.64637143657</v>
      </c>
      <c r="AH107" s="75">
        <f t="shared" ref="AH107:AH122" si="42">AF107+AG107</f>
        <v>228626.47230929992</v>
      </c>
      <c r="AI107" s="75">
        <f t="shared" ref="AI107:AI122" si="43">AE107+AH107</f>
        <v>770406.80985915498</v>
      </c>
      <c r="AJ107" s="99"/>
      <c r="AK107" s="528">
        <f t="shared" ref="AK107:AK122" si="44">X107+AE107+AH107</f>
        <v>1567906.809859155</v>
      </c>
      <c r="AL107" s="76" t="s">
        <v>61</v>
      </c>
      <c r="AM107" s="105"/>
      <c r="AN107" s="65">
        <f t="shared" ref="AN107:AN122" si="45">SUM(R7,R28,R49,R70)</f>
        <v>137068.90845070424</v>
      </c>
      <c r="AO107" s="89"/>
      <c r="AP107" s="89"/>
      <c r="AQ107" s="527"/>
      <c r="AR107" s="529"/>
      <c r="AS107" s="529"/>
      <c r="AT107" s="529"/>
      <c r="AU107" s="15"/>
      <c r="AV107" s="15"/>
      <c r="AW107" s="15"/>
      <c r="AX107" s="15"/>
      <c r="AY107" s="15"/>
      <c r="AZ107" s="15"/>
      <c r="BA107" s="15"/>
      <c r="BB107" s="15"/>
      <c r="BC107" s="15"/>
      <c r="BD107" s="15"/>
    </row>
    <row r="108" spans="1:56" ht="13" x14ac:dyDescent="0.3">
      <c r="A108" s="74">
        <v>9257025</v>
      </c>
      <c r="B108" s="67" t="s">
        <v>64</v>
      </c>
      <c r="C108" s="68">
        <v>4</v>
      </c>
      <c r="D108" s="75">
        <f t="shared" si="16"/>
        <v>295019.95370370371</v>
      </c>
      <c r="E108" s="75">
        <f t="shared" si="17"/>
        <v>489279.2462962963</v>
      </c>
      <c r="F108" s="22">
        <f t="shared" si="32"/>
        <v>784299.2</v>
      </c>
      <c r="G108" s="75">
        <f t="shared" si="18"/>
        <v>87144.35555555555</v>
      </c>
      <c r="H108" s="75">
        <f t="shared" si="19"/>
        <v>174288.7111111111</v>
      </c>
      <c r="I108" s="22">
        <f t="shared" si="33"/>
        <v>261433.06666666665</v>
      </c>
      <c r="J108" s="22">
        <f t="shared" si="34"/>
        <v>1045732.2666666666</v>
      </c>
      <c r="K108" s="75">
        <f t="shared" si="20"/>
        <v>0</v>
      </c>
      <c r="L108" s="75">
        <f t="shared" si="21"/>
        <v>0</v>
      </c>
      <c r="M108" s="22">
        <f t="shared" si="35"/>
        <v>0</v>
      </c>
      <c r="N108" s="75">
        <f t="shared" si="22"/>
        <v>0</v>
      </c>
      <c r="O108" s="75">
        <f t="shared" si="23"/>
        <v>0</v>
      </c>
      <c r="P108" s="22">
        <f t="shared" si="36"/>
        <v>0</v>
      </c>
      <c r="Q108" s="22">
        <f t="shared" si="37"/>
        <v>0</v>
      </c>
      <c r="R108" s="22">
        <f t="shared" si="24"/>
        <v>1045732.2666666666</v>
      </c>
      <c r="S108" s="98">
        <f t="shared" si="25"/>
        <v>96</v>
      </c>
      <c r="T108" s="75">
        <f t="shared" si="38"/>
        <v>10893.044444444444</v>
      </c>
      <c r="U108" s="67"/>
      <c r="V108" s="75">
        <f t="shared" si="26"/>
        <v>720000</v>
      </c>
      <c r="W108" s="75">
        <f t="shared" si="27"/>
        <v>240000</v>
      </c>
      <c r="X108" s="75">
        <f t="shared" si="39"/>
        <v>960000</v>
      </c>
      <c r="Y108" s="75">
        <f>VLOOKUP(A108,'2324 Funding Detail'!$A$4:$AA$20,18,FALSE)</f>
        <v>1590175.7662648708</v>
      </c>
      <c r="Z108" s="75"/>
      <c r="AA108" s="75"/>
      <c r="AB108" s="75">
        <f t="shared" si="40"/>
        <v>630175.76626487076</v>
      </c>
      <c r="AC108" s="75">
        <f t="shared" si="28"/>
        <v>177783.96183687766</v>
      </c>
      <c r="AD108" s="75">
        <f t="shared" si="29"/>
        <v>294847.8628617755</v>
      </c>
      <c r="AE108" s="75">
        <f t="shared" si="41"/>
        <v>472631.82469865319</v>
      </c>
      <c r="AF108" s="75">
        <f t="shared" si="30"/>
        <v>52514.64718873924</v>
      </c>
      <c r="AG108" s="75">
        <f t="shared" si="31"/>
        <v>105029.29437747848</v>
      </c>
      <c r="AH108" s="75">
        <f t="shared" si="42"/>
        <v>157543.94156621772</v>
      </c>
      <c r="AI108" s="75">
        <f t="shared" si="43"/>
        <v>630175.76626487088</v>
      </c>
      <c r="AJ108" s="99"/>
      <c r="AK108" s="528">
        <f t="shared" si="44"/>
        <v>1590175.7662648708</v>
      </c>
      <c r="AL108" s="76" t="s">
        <v>61</v>
      </c>
      <c r="AM108" s="105"/>
      <c r="AN108" s="65">
        <f t="shared" si="45"/>
        <v>104132.26666666666</v>
      </c>
      <c r="AO108" s="89"/>
      <c r="AP108" s="89"/>
      <c r="AQ108" s="527"/>
      <c r="AR108" s="529"/>
      <c r="AS108" s="529"/>
      <c r="AT108" s="529"/>
      <c r="AU108" s="15"/>
      <c r="AV108" s="15"/>
      <c r="AW108" s="15"/>
      <c r="AX108" s="15"/>
      <c r="AY108" s="15"/>
      <c r="AZ108" s="15"/>
      <c r="BA108" s="15"/>
      <c r="BB108" s="15"/>
      <c r="BC108" s="15"/>
      <c r="BD108" s="15"/>
    </row>
    <row r="109" spans="1:56" ht="13" x14ac:dyDescent="0.3">
      <c r="A109" s="74">
        <v>9257024</v>
      </c>
      <c r="B109" s="67" t="s">
        <v>66</v>
      </c>
      <c r="C109" s="68">
        <v>3</v>
      </c>
      <c r="D109" s="75">
        <f t="shared" si="16"/>
        <v>357845.95588235295</v>
      </c>
      <c r="E109" s="75">
        <f t="shared" si="17"/>
        <v>534383.29411764699</v>
      </c>
      <c r="F109" s="22">
        <f t="shared" si="32"/>
        <v>892229.25</v>
      </c>
      <c r="G109" s="75">
        <f t="shared" si="18"/>
        <v>49621.305882352935</v>
      </c>
      <c r="H109" s="75">
        <f t="shared" si="19"/>
        <v>122144.75294117644</v>
      </c>
      <c r="I109" s="22">
        <f t="shared" si="33"/>
        <v>171766.05882352937</v>
      </c>
      <c r="J109" s="22">
        <f t="shared" si="34"/>
        <v>1063995.3088235294</v>
      </c>
      <c r="K109" s="75">
        <f t="shared" si="20"/>
        <v>0</v>
      </c>
      <c r="L109" s="75">
        <f t="shared" si="21"/>
        <v>0</v>
      </c>
      <c r="M109" s="22">
        <f t="shared" si="35"/>
        <v>0</v>
      </c>
      <c r="N109" s="75">
        <f t="shared" si="22"/>
        <v>0</v>
      </c>
      <c r="O109" s="75">
        <f t="shared" si="23"/>
        <v>0</v>
      </c>
      <c r="P109" s="22">
        <f t="shared" si="36"/>
        <v>0</v>
      </c>
      <c r="Q109" s="22">
        <f t="shared" si="37"/>
        <v>0</v>
      </c>
      <c r="R109" s="22">
        <f t="shared" si="24"/>
        <v>1063995.3088235294</v>
      </c>
      <c r="S109" s="98">
        <f t="shared" si="25"/>
        <v>92.916666666666671</v>
      </c>
      <c r="T109" s="75">
        <f t="shared" si="38"/>
        <v>11451.070588235294</v>
      </c>
      <c r="U109" s="67"/>
      <c r="V109" s="75">
        <f t="shared" si="26"/>
        <v>779166.66666666674</v>
      </c>
      <c r="W109" s="75">
        <f t="shared" si="27"/>
        <v>150000</v>
      </c>
      <c r="X109" s="75">
        <f t="shared" si="39"/>
        <v>929166.66666666674</v>
      </c>
      <c r="Y109" s="75">
        <f>VLOOKUP(A109,'2324 Funding Detail'!$A$4:$AA$20,18,FALSE)</f>
        <v>1603414.5476405204</v>
      </c>
      <c r="Z109" s="75"/>
      <c r="AA109" s="75"/>
      <c r="AB109" s="75">
        <f t="shared" si="40"/>
        <v>674247.88097385364</v>
      </c>
      <c r="AC109" s="75">
        <f t="shared" si="28"/>
        <v>226764.98239030957</v>
      </c>
      <c r="AD109" s="75">
        <f t="shared" si="29"/>
        <v>338635.70703619561</v>
      </c>
      <c r="AE109" s="75">
        <f t="shared" si="41"/>
        <v>565400.68942650524</v>
      </c>
      <c r="AF109" s="75">
        <f t="shared" si="30"/>
        <v>31444.744224789596</v>
      </c>
      <c r="AG109" s="75">
        <f t="shared" si="31"/>
        <v>77402.447322559005</v>
      </c>
      <c r="AH109" s="75">
        <f t="shared" si="42"/>
        <v>108847.1915473486</v>
      </c>
      <c r="AI109" s="75">
        <f t="shared" si="43"/>
        <v>674247.88097385387</v>
      </c>
      <c r="AJ109" s="99"/>
      <c r="AK109" s="528">
        <f t="shared" si="44"/>
        <v>1603414.5476405206</v>
      </c>
      <c r="AL109" s="76" t="s">
        <v>61</v>
      </c>
      <c r="AM109" s="105"/>
      <c r="AN109" s="65">
        <f t="shared" si="45"/>
        <v>160074.64705882352</v>
      </c>
      <c r="AO109" s="89"/>
      <c r="AP109" s="89"/>
      <c r="AQ109" s="527"/>
      <c r="AR109" s="529"/>
      <c r="AS109" s="529"/>
      <c r="AT109" s="529"/>
      <c r="AU109" s="15"/>
      <c r="AV109" s="15"/>
      <c r="AW109" s="15"/>
      <c r="AX109" s="15"/>
      <c r="AY109" s="15"/>
      <c r="AZ109" s="15"/>
      <c r="BA109" s="15"/>
      <c r="BB109" s="15"/>
      <c r="BC109" s="15"/>
      <c r="BD109" s="15"/>
    </row>
    <row r="110" spans="1:56" ht="13" x14ac:dyDescent="0.3">
      <c r="A110" s="74">
        <v>9257031</v>
      </c>
      <c r="B110" s="67" t="s">
        <v>84</v>
      </c>
      <c r="C110" s="68">
        <v>4</v>
      </c>
      <c r="D110" s="75">
        <f t="shared" si="16"/>
        <v>518900</v>
      </c>
      <c r="E110" s="75">
        <f t="shared" si="17"/>
        <v>735540.75</v>
      </c>
      <c r="F110" s="22">
        <f t="shared" si="32"/>
        <v>1254440.75</v>
      </c>
      <c r="G110" s="75">
        <f t="shared" si="18"/>
        <v>0</v>
      </c>
      <c r="H110" s="75">
        <f t="shared" si="19"/>
        <v>0</v>
      </c>
      <c r="I110" s="22">
        <f t="shared" si="33"/>
        <v>0</v>
      </c>
      <c r="J110" s="22">
        <f t="shared" si="34"/>
        <v>1254440.75</v>
      </c>
      <c r="K110" s="75">
        <f t="shared" si="20"/>
        <v>0</v>
      </c>
      <c r="L110" s="75">
        <f t="shared" si="21"/>
        <v>0</v>
      </c>
      <c r="M110" s="22">
        <f t="shared" si="35"/>
        <v>0</v>
      </c>
      <c r="N110" s="75">
        <f t="shared" si="22"/>
        <v>0</v>
      </c>
      <c r="O110" s="75">
        <f t="shared" si="23"/>
        <v>0</v>
      </c>
      <c r="P110" s="22">
        <f t="shared" si="36"/>
        <v>0</v>
      </c>
      <c r="Q110" s="22">
        <f t="shared" si="37"/>
        <v>0</v>
      </c>
      <c r="R110" s="22">
        <f t="shared" si="24"/>
        <v>1254440.75</v>
      </c>
      <c r="S110" s="98">
        <f t="shared" si="25"/>
        <v>80.583333333333343</v>
      </c>
      <c r="T110" s="75">
        <f t="shared" si="38"/>
        <v>15566.999999999998</v>
      </c>
      <c r="U110" s="67"/>
      <c r="V110" s="75">
        <f t="shared" si="26"/>
        <v>805833.33333333337</v>
      </c>
      <c r="W110" s="75">
        <f t="shared" si="27"/>
        <v>0</v>
      </c>
      <c r="X110" s="75">
        <f t="shared" si="39"/>
        <v>805833.33333333337</v>
      </c>
      <c r="Y110" s="75">
        <f>VLOOKUP(A110,'2324 Funding Detail'!$A$4:$AA$20,18,FALSE)</f>
        <v>1780394.55</v>
      </c>
      <c r="Z110" s="75"/>
      <c r="AA110" s="75"/>
      <c r="AB110" s="75">
        <f t="shared" si="40"/>
        <v>974561.21666666667</v>
      </c>
      <c r="AC110" s="75">
        <f t="shared" si="28"/>
        <v>403127.70079282997</v>
      </c>
      <c r="AD110" s="75">
        <f t="shared" si="29"/>
        <v>571433.51587383647</v>
      </c>
      <c r="AE110" s="75">
        <f t="shared" si="41"/>
        <v>974561.21666666644</v>
      </c>
      <c r="AF110" s="75">
        <f t="shared" si="30"/>
        <v>0</v>
      </c>
      <c r="AG110" s="75">
        <f t="shared" si="31"/>
        <v>0</v>
      </c>
      <c r="AH110" s="75">
        <f t="shared" si="42"/>
        <v>0</v>
      </c>
      <c r="AI110" s="75">
        <f t="shared" si="43"/>
        <v>974561.21666666644</v>
      </c>
      <c r="AJ110" s="99"/>
      <c r="AK110" s="528">
        <f t="shared" si="44"/>
        <v>1780394.5499999998</v>
      </c>
      <c r="AL110" s="76" t="s">
        <v>61</v>
      </c>
      <c r="AM110" s="105"/>
      <c r="AN110" s="65">
        <f t="shared" si="45"/>
        <v>0</v>
      </c>
      <c r="AO110" s="89"/>
      <c r="AP110" s="89"/>
      <c r="AQ110" s="527"/>
      <c r="AR110" s="529"/>
      <c r="AS110" s="529"/>
      <c r="AT110" s="529"/>
      <c r="AU110" s="15"/>
      <c r="AV110" s="15"/>
      <c r="AW110" s="15"/>
      <c r="AX110" s="15"/>
      <c r="AY110" s="15"/>
      <c r="AZ110" s="15"/>
      <c r="BA110" s="15"/>
      <c r="BB110" s="15"/>
      <c r="BC110" s="15"/>
      <c r="BD110" s="15"/>
    </row>
    <row r="111" spans="1:56" ht="13" x14ac:dyDescent="0.3">
      <c r="A111" s="74">
        <v>9257033</v>
      </c>
      <c r="B111" s="67" t="s">
        <v>74</v>
      </c>
      <c r="C111" s="68">
        <v>3</v>
      </c>
      <c r="D111" s="75">
        <f t="shared" si="16"/>
        <v>439470.93093093089</v>
      </c>
      <c r="E111" s="75">
        <f t="shared" si="17"/>
        <v>631739.46321321314</v>
      </c>
      <c r="F111" s="22">
        <f t="shared" si="32"/>
        <v>1071210.3941441439</v>
      </c>
      <c r="G111" s="75">
        <f t="shared" si="18"/>
        <v>0</v>
      </c>
      <c r="H111" s="75">
        <f t="shared" si="19"/>
        <v>0</v>
      </c>
      <c r="I111" s="22">
        <f t="shared" si="33"/>
        <v>0</v>
      </c>
      <c r="J111" s="22">
        <f t="shared" si="34"/>
        <v>1071210.3941441439</v>
      </c>
      <c r="K111" s="75">
        <f t="shared" si="20"/>
        <v>0</v>
      </c>
      <c r="L111" s="75">
        <f t="shared" si="21"/>
        <v>0</v>
      </c>
      <c r="M111" s="22">
        <f t="shared" si="35"/>
        <v>0</v>
      </c>
      <c r="N111" s="75">
        <f t="shared" si="22"/>
        <v>0</v>
      </c>
      <c r="O111" s="75">
        <f t="shared" si="23"/>
        <v>0</v>
      </c>
      <c r="P111" s="22">
        <f t="shared" si="36"/>
        <v>0</v>
      </c>
      <c r="Q111" s="22">
        <f t="shared" si="37"/>
        <v>0</v>
      </c>
      <c r="R111" s="22">
        <f t="shared" si="24"/>
        <v>1071210.3941441439</v>
      </c>
      <c r="S111" s="98">
        <f t="shared" si="25"/>
        <v>113.75000000000001</v>
      </c>
      <c r="T111" s="75">
        <f t="shared" si="38"/>
        <v>9417.2342342342308</v>
      </c>
      <c r="U111" s="67"/>
      <c r="V111" s="75">
        <f t="shared" si="26"/>
        <v>1137500</v>
      </c>
      <c r="W111" s="75">
        <f t="shared" si="27"/>
        <v>0</v>
      </c>
      <c r="X111" s="75">
        <f t="shared" si="39"/>
        <v>1137500</v>
      </c>
      <c r="Y111" s="75">
        <f>VLOOKUP(A111,'2324 Funding Detail'!$A$4:$AA$20,18,FALSE)</f>
        <v>1618128.794144144</v>
      </c>
      <c r="Z111" s="75"/>
      <c r="AA111" s="75"/>
      <c r="AB111" s="75">
        <f t="shared" si="40"/>
        <v>480628.79414414405</v>
      </c>
      <c r="AC111" s="75">
        <f t="shared" si="28"/>
        <v>197181.04375144368</v>
      </c>
      <c r="AD111" s="75">
        <f t="shared" si="29"/>
        <v>283447.75039270025</v>
      </c>
      <c r="AE111" s="75">
        <f t="shared" si="41"/>
        <v>480628.79414414393</v>
      </c>
      <c r="AF111" s="75">
        <f t="shared" si="30"/>
        <v>0</v>
      </c>
      <c r="AG111" s="75">
        <f t="shared" si="31"/>
        <v>0</v>
      </c>
      <c r="AH111" s="75">
        <f t="shared" si="42"/>
        <v>0</v>
      </c>
      <c r="AI111" s="75">
        <f t="shared" si="43"/>
        <v>480628.79414414393</v>
      </c>
      <c r="AJ111" s="99"/>
      <c r="AK111" s="528">
        <f t="shared" si="44"/>
        <v>1618128.7941441438</v>
      </c>
      <c r="AL111" s="76" t="s">
        <v>61</v>
      </c>
      <c r="AM111" s="105"/>
      <c r="AN111" s="65">
        <f t="shared" si="45"/>
        <v>50021.306306306302</v>
      </c>
      <c r="AO111" s="89"/>
      <c r="AP111" s="89"/>
      <c r="AQ111" s="527"/>
      <c r="AR111" s="529"/>
      <c r="AS111" s="529"/>
      <c r="AT111" s="529"/>
      <c r="AU111" s="15"/>
      <c r="AV111" s="15"/>
      <c r="AW111" s="15"/>
      <c r="AX111" s="15"/>
      <c r="AY111" s="15"/>
      <c r="AZ111" s="15"/>
      <c r="BA111" s="15"/>
      <c r="BB111" s="15"/>
      <c r="BC111" s="15"/>
      <c r="BD111" s="15"/>
    </row>
    <row r="112" spans="1:56" ht="13" x14ac:dyDescent="0.3">
      <c r="A112" s="74">
        <v>9257008</v>
      </c>
      <c r="B112" s="67" t="s">
        <v>67</v>
      </c>
      <c r="C112" s="68">
        <v>4</v>
      </c>
      <c r="D112" s="75">
        <f t="shared" si="16"/>
        <v>399232.08333333337</v>
      </c>
      <c r="E112" s="75">
        <f t="shared" si="17"/>
        <v>558924.91666666674</v>
      </c>
      <c r="F112" s="22">
        <f t="shared" si="32"/>
        <v>958157.00000000012</v>
      </c>
      <c r="G112" s="75">
        <f t="shared" si="18"/>
        <v>0</v>
      </c>
      <c r="H112" s="75">
        <f t="shared" si="19"/>
        <v>0</v>
      </c>
      <c r="I112" s="22">
        <f t="shared" si="33"/>
        <v>0</v>
      </c>
      <c r="J112" s="22">
        <f t="shared" si="34"/>
        <v>958157.00000000012</v>
      </c>
      <c r="K112" s="75">
        <f t="shared" si="20"/>
        <v>0</v>
      </c>
      <c r="L112" s="75">
        <f t="shared" si="21"/>
        <v>0</v>
      </c>
      <c r="M112" s="22">
        <f t="shared" si="35"/>
        <v>0</v>
      </c>
      <c r="N112" s="75">
        <f t="shared" si="22"/>
        <v>0</v>
      </c>
      <c r="O112" s="75">
        <f t="shared" si="23"/>
        <v>0</v>
      </c>
      <c r="P112" s="22">
        <f t="shared" si="36"/>
        <v>0</v>
      </c>
      <c r="Q112" s="22">
        <f t="shared" si="37"/>
        <v>0</v>
      </c>
      <c r="R112" s="22">
        <f t="shared" si="24"/>
        <v>958157.00000000012</v>
      </c>
      <c r="S112" s="98">
        <f t="shared" si="25"/>
        <v>101</v>
      </c>
      <c r="T112" s="75">
        <f t="shared" si="38"/>
        <v>9486.7029702970303</v>
      </c>
      <c r="U112" s="67"/>
      <c r="V112" s="75">
        <f t="shared" si="26"/>
        <v>1010000.0000000001</v>
      </c>
      <c r="W112" s="75">
        <f t="shared" si="27"/>
        <v>0</v>
      </c>
      <c r="X112" s="75">
        <f t="shared" si="39"/>
        <v>1010000.0000000001</v>
      </c>
      <c r="Y112" s="75">
        <f>VLOOKUP(A112,'2324 Funding Detail'!$A$4:$AA$20,18,FALSE)</f>
        <v>1491135.1</v>
      </c>
      <c r="Z112" s="75"/>
      <c r="AA112" s="75"/>
      <c r="AB112" s="75">
        <f t="shared" si="40"/>
        <v>481135.1</v>
      </c>
      <c r="AC112" s="75">
        <f t="shared" si="28"/>
        <v>200472.95833333334</v>
      </c>
      <c r="AD112" s="75">
        <f t="shared" si="29"/>
        <v>280662.14166666666</v>
      </c>
      <c r="AE112" s="75">
        <f t="shared" si="41"/>
        <v>481135.1</v>
      </c>
      <c r="AF112" s="75">
        <f t="shared" si="30"/>
        <v>0</v>
      </c>
      <c r="AG112" s="75">
        <f t="shared" si="31"/>
        <v>0</v>
      </c>
      <c r="AH112" s="75">
        <f t="shared" si="42"/>
        <v>0</v>
      </c>
      <c r="AI112" s="75">
        <f t="shared" si="43"/>
        <v>481135.1</v>
      </c>
      <c r="AJ112" s="99"/>
      <c r="AK112" s="528">
        <f t="shared" si="44"/>
        <v>1491135.1</v>
      </c>
      <c r="AL112" s="76" t="s">
        <v>61</v>
      </c>
      <c r="AM112" s="105"/>
      <c r="AN112" s="65">
        <f t="shared" si="45"/>
        <v>0</v>
      </c>
      <c r="AO112" s="89"/>
      <c r="AP112" s="89"/>
      <c r="AQ112" s="527"/>
      <c r="AR112" s="529"/>
      <c r="AS112" s="529"/>
      <c r="AT112" s="529"/>
      <c r="AU112" s="15"/>
      <c r="AV112" s="15"/>
      <c r="AW112" s="15"/>
      <c r="AX112" s="15"/>
      <c r="AY112" s="15"/>
      <c r="AZ112" s="15"/>
      <c r="BA112" s="15"/>
      <c r="BB112" s="15"/>
      <c r="BC112" s="15"/>
      <c r="BD112" s="15"/>
    </row>
    <row r="113" spans="1:56" ht="13" x14ac:dyDescent="0.3">
      <c r="A113" s="74">
        <v>9257034</v>
      </c>
      <c r="B113" s="67" t="s">
        <v>75</v>
      </c>
      <c r="C113" s="68">
        <v>5</v>
      </c>
      <c r="D113" s="75">
        <f t="shared" si="16"/>
        <v>361175.24928774935</v>
      </c>
      <c r="E113" s="75">
        <f t="shared" si="17"/>
        <v>570195.81908831908</v>
      </c>
      <c r="F113" s="22">
        <f t="shared" si="32"/>
        <v>931371.06837606849</v>
      </c>
      <c r="G113" s="75">
        <f t="shared" si="18"/>
        <v>92214.957264957251</v>
      </c>
      <c r="H113" s="75">
        <f t="shared" si="19"/>
        <v>159839.25925925924</v>
      </c>
      <c r="I113" s="22">
        <f t="shared" si="33"/>
        <v>252054.21652421649</v>
      </c>
      <c r="J113" s="22">
        <f t="shared" si="34"/>
        <v>1183425.2849002851</v>
      </c>
      <c r="K113" s="75">
        <f t="shared" si="20"/>
        <v>0</v>
      </c>
      <c r="L113" s="75">
        <f t="shared" si="21"/>
        <v>0</v>
      </c>
      <c r="M113" s="22">
        <f t="shared" si="35"/>
        <v>0</v>
      </c>
      <c r="N113" s="75">
        <f t="shared" si="22"/>
        <v>0</v>
      </c>
      <c r="O113" s="75">
        <f t="shared" si="23"/>
        <v>0</v>
      </c>
      <c r="P113" s="22">
        <f t="shared" si="36"/>
        <v>0</v>
      </c>
      <c r="Q113" s="22">
        <f t="shared" si="37"/>
        <v>0</v>
      </c>
      <c r="R113" s="22">
        <f t="shared" si="24"/>
        <v>1183425.2849002851</v>
      </c>
      <c r="S113" s="98">
        <f t="shared" si="25"/>
        <v>128.33333333333334</v>
      </c>
      <c r="T113" s="75">
        <f t="shared" si="38"/>
        <v>9221.4957264957266</v>
      </c>
      <c r="U113" s="67"/>
      <c r="V113" s="75">
        <f t="shared" si="26"/>
        <v>1010000</v>
      </c>
      <c r="W113" s="75">
        <f t="shared" si="27"/>
        <v>273333.33333333331</v>
      </c>
      <c r="X113" s="75">
        <f t="shared" si="39"/>
        <v>1283333.3333333333</v>
      </c>
      <c r="Y113" s="75">
        <f>VLOOKUP(A113,'2324 Funding Detail'!$A$4:$AA$20,18,FALSE)</f>
        <v>1805558.419342048</v>
      </c>
      <c r="Z113" s="75"/>
      <c r="AA113" s="75"/>
      <c r="AB113" s="75">
        <f t="shared" si="40"/>
        <v>522225.08600871474</v>
      </c>
      <c r="AC113" s="75">
        <f t="shared" si="28"/>
        <v>159380.38339227004</v>
      </c>
      <c r="AD113" s="75">
        <f t="shared" si="29"/>
        <v>251617.54144056249</v>
      </c>
      <c r="AE113" s="75">
        <f t="shared" si="41"/>
        <v>410997.92483283253</v>
      </c>
      <c r="AF113" s="75">
        <f t="shared" si="30"/>
        <v>40692.863844834901</v>
      </c>
      <c r="AG113" s="75">
        <f t="shared" si="31"/>
        <v>70534.297331047157</v>
      </c>
      <c r="AH113" s="75">
        <f t="shared" si="42"/>
        <v>111227.16117588207</v>
      </c>
      <c r="AI113" s="75">
        <f t="shared" si="43"/>
        <v>522225.08600871463</v>
      </c>
      <c r="AJ113" s="99"/>
      <c r="AK113" s="528">
        <f t="shared" si="44"/>
        <v>1805558.4193420478</v>
      </c>
      <c r="AL113" s="76" t="s">
        <v>61</v>
      </c>
      <c r="AM113" s="105"/>
      <c r="AN113" s="65">
        <f t="shared" si="45"/>
        <v>26770.113960113962</v>
      </c>
      <c r="AO113" s="89"/>
      <c r="AP113" s="89"/>
      <c r="AQ113" s="527"/>
      <c r="AR113" s="529"/>
      <c r="AS113" s="529"/>
      <c r="AT113" s="529"/>
      <c r="AU113" s="15"/>
      <c r="AV113" s="15"/>
      <c r="AW113" s="15"/>
      <c r="AX113" s="15"/>
      <c r="AY113" s="15"/>
      <c r="AZ113" s="15"/>
      <c r="BA113" s="15"/>
      <c r="BB113" s="15"/>
      <c r="BC113" s="15"/>
      <c r="BD113" s="15"/>
    </row>
    <row r="114" spans="1:56" ht="13" x14ac:dyDescent="0.3">
      <c r="A114" s="74">
        <v>9257002</v>
      </c>
      <c r="B114" s="67" t="s">
        <v>68</v>
      </c>
      <c r="C114" s="68">
        <v>5</v>
      </c>
      <c r="D114" s="75">
        <f t="shared" si="16"/>
        <v>681114.23018292687</v>
      </c>
      <c r="E114" s="75">
        <f t="shared" si="17"/>
        <v>1055512.8699186991</v>
      </c>
      <c r="F114" s="22">
        <f t="shared" si="32"/>
        <v>1736627.100101626</v>
      </c>
      <c r="G114" s="75">
        <f t="shared" si="18"/>
        <v>0</v>
      </c>
      <c r="H114" s="75">
        <f t="shared" si="19"/>
        <v>0</v>
      </c>
      <c r="I114" s="22">
        <f t="shared" si="33"/>
        <v>0</v>
      </c>
      <c r="J114" s="22">
        <f t="shared" si="34"/>
        <v>1736627.100101626</v>
      </c>
      <c r="K114" s="75">
        <f t="shared" si="20"/>
        <v>0</v>
      </c>
      <c r="L114" s="75">
        <f t="shared" si="21"/>
        <v>0</v>
      </c>
      <c r="M114" s="22">
        <f t="shared" si="35"/>
        <v>0</v>
      </c>
      <c r="N114" s="75">
        <f t="shared" si="22"/>
        <v>0</v>
      </c>
      <c r="O114" s="75">
        <f t="shared" si="23"/>
        <v>0</v>
      </c>
      <c r="P114" s="22">
        <f t="shared" si="36"/>
        <v>0</v>
      </c>
      <c r="Q114" s="22">
        <f t="shared" si="37"/>
        <v>0</v>
      </c>
      <c r="R114" s="22">
        <f t="shared" si="24"/>
        <v>1736627.100101626</v>
      </c>
      <c r="S114" s="98">
        <f t="shared" si="25"/>
        <v>168.91666666666669</v>
      </c>
      <c r="T114" s="75">
        <f t="shared" si="38"/>
        <v>10280.969512195121</v>
      </c>
      <c r="U114" s="67"/>
      <c r="V114" s="75">
        <f t="shared" si="26"/>
        <v>1689166.6666666667</v>
      </c>
      <c r="W114" s="75">
        <f t="shared" si="27"/>
        <v>0</v>
      </c>
      <c r="X114" s="75">
        <f t="shared" si="39"/>
        <v>1689166.6666666667</v>
      </c>
      <c r="Y114" s="75">
        <f>VLOOKUP(A114,'2324 Funding Detail'!$A$4:$AA$20,18,FALSE)</f>
        <v>2422141.9001016258</v>
      </c>
      <c r="Z114" s="75"/>
      <c r="AA114" s="75"/>
      <c r="AB114" s="75">
        <f t="shared" si="40"/>
        <v>732975.23343495908</v>
      </c>
      <c r="AC114" s="75">
        <f t="shared" si="28"/>
        <v>287476.71957611857</v>
      </c>
      <c r="AD114" s="75">
        <f t="shared" si="29"/>
        <v>445498.51385884039</v>
      </c>
      <c r="AE114" s="75">
        <f t="shared" si="41"/>
        <v>732975.23343495897</v>
      </c>
      <c r="AF114" s="75">
        <f t="shared" si="30"/>
        <v>0</v>
      </c>
      <c r="AG114" s="75">
        <f t="shared" si="31"/>
        <v>0</v>
      </c>
      <c r="AH114" s="75">
        <f t="shared" si="42"/>
        <v>0</v>
      </c>
      <c r="AI114" s="75">
        <f t="shared" si="43"/>
        <v>732975.23343495897</v>
      </c>
      <c r="AJ114" s="99"/>
      <c r="AK114" s="528">
        <f t="shared" si="44"/>
        <v>2422141.9001016258</v>
      </c>
      <c r="AL114" s="76" t="s">
        <v>61</v>
      </c>
      <c r="AM114" s="105"/>
      <c r="AN114" s="65">
        <f t="shared" si="45"/>
        <v>50275.367886178865</v>
      </c>
      <c r="AO114" s="89"/>
      <c r="AP114" s="89"/>
      <c r="AQ114" s="527"/>
      <c r="AR114" s="529"/>
      <c r="AS114" s="529"/>
      <c r="AT114" s="529"/>
      <c r="AU114" s="15"/>
      <c r="AV114" s="15"/>
      <c r="AW114" s="15"/>
      <c r="AX114" s="15"/>
      <c r="AY114" s="15"/>
      <c r="AZ114" s="15"/>
      <c r="BA114" s="15"/>
      <c r="BB114" s="15"/>
      <c r="BC114" s="15"/>
      <c r="BD114" s="15"/>
    </row>
    <row r="115" spans="1:56" ht="13" x14ac:dyDescent="0.3">
      <c r="A115" s="74">
        <v>9257009</v>
      </c>
      <c r="B115" s="67" t="s">
        <v>69</v>
      </c>
      <c r="C115" s="68">
        <v>4</v>
      </c>
      <c r="D115" s="75">
        <f t="shared" si="16"/>
        <v>854843.36505922175</v>
      </c>
      <c r="E115" s="75">
        <f t="shared" si="17"/>
        <v>1259439.3870558375</v>
      </c>
      <c r="F115" s="22">
        <f t="shared" si="32"/>
        <v>2114282.7521150592</v>
      </c>
      <c r="G115" s="75">
        <f t="shared" si="18"/>
        <v>39385.453468697116</v>
      </c>
      <c r="H115" s="75">
        <f t="shared" si="19"/>
        <v>78770.906937394233</v>
      </c>
      <c r="I115" s="22">
        <f t="shared" si="33"/>
        <v>118156.36040609135</v>
      </c>
      <c r="J115" s="22">
        <f t="shared" si="34"/>
        <v>2232439.1125211506</v>
      </c>
      <c r="K115" s="75">
        <f t="shared" si="20"/>
        <v>0</v>
      </c>
      <c r="L115" s="75">
        <f t="shared" si="21"/>
        <v>0</v>
      </c>
      <c r="M115" s="22">
        <f t="shared" si="35"/>
        <v>0</v>
      </c>
      <c r="N115" s="75">
        <f t="shared" si="22"/>
        <v>0</v>
      </c>
      <c r="O115" s="75">
        <f t="shared" si="23"/>
        <v>0</v>
      </c>
      <c r="P115" s="22">
        <f t="shared" si="36"/>
        <v>0</v>
      </c>
      <c r="Q115" s="22">
        <f t="shared" si="37"/>
        <v>0</v>
      </c>
      <c r="R115" s="22">
        <f t="shared" si="24"/>
        <v>2232439.1125211506</v>
      </c>
      <c r="S115" s="98">
        <f t="shared" si="25"/>
        <v>207.83333333333337</v>
      </c>
      <c r="T115" s="75">
        <f t="shared" si="38"/>
        <v>10741.487309644668</v>
      </c>
      <c r="U115" s="67"/>
      <c r="V115" s="75">
        <f t="shared" si="26"/>
        <v>1968333.3333333335</v>
      </c>
      <c r="W115" s="75">
        <f t="shared" si="27"/>
        <v>110000</v>
      </c>
      <c r="X115" s="75">
        <f t="shared" si="39"/>
        <v>2078333.3333333335</v>
      </c>
      <c r="Y115" s="75">
        <f>VLOOKUP(A115,'2324 Funding Detail'!$A$4:$AA$20,18,FALSE)</f>
        <v>3059718.9362606043</v>
      </c>
      <c r="Z115" s="75"/>
      <c r="AA115" s="75"/>
      <c r="AB115" s="75">
        <f t="shared" si="40"/>
        <v>981385.60292727081</v>
      </c>
      <c r="AC115" s="75">
        <f t="shared" si="28"/>
        <v>375791.19919628836</v>
      </c>
      <c r="AD115" s="75">
        <f t="shared" si="29"/>
        <v>553652.58352793485</v>
      </c>
      <c r="AE115" s="75">
        <f t="shared" si="41"/>
        <v>929443.78272422322</v>
      </c>
      <c r="AF115" s="75">
        <f t="shared" si="30"/>
        <v>17313.940067682397</v>
      </c>
      <c r="AG115" s="75">
        <f t="shared" si="31"/>
        <v>34627.880135364794</v>
      </c>
      <c r="AH115" s="75">
        <f t="shared" si="42"/>
        <v>51941.820203047188</v>
      </c>
      <c r="AI115" s="75">
        <f t="shared" si="43"/>
        <v>981385.60292727035</v>
      </c>
      <c r="AJ115" s="99"/>
      <c r="AK115" s="528">
        <f t="shared" si="44"/>
        <v>3059718.9362606038</v>
      </c>
      <c r="AL115" s="76" t="s">
        <v>61</v>
      </c>
      <c r="AM115" s="105"/>
      <c r="AN115" s="65">
        <f t="shared" si="45"/>
        <v>257481.23519458543</v>
      </c>
      <c r="AO115" s="89"/>
      <c r="AP115" s="89"/>
      <c r="AQ115" s="527"/>
      <c r="AR115" s="529"/>
      <c r="AS115" s="529"/>
      <c r="AT115" s="529"/>
      <c r="AU115" s="15"/>
      <c r="AV115" s="15"/>
      <c r="AW115" s="15"/>
      <c r="AX115" s="15"/>
      <c r="AY115" s="15"/>
      <c r="AZ115" s="15"/>
      <c r="BA115" s="15"/>
      <c r="BB115" s="15"/>
      <c r="BC115" s="15"/>
      <c r="BD115" s="15"/>
    </row>
    <row r="116" spans="1:56" ht="13" x14ac:dyDescent="0.3">
      <c r="A116" s="74">
        <v>9257029</v>
      </c>
      <c r="B116" s="67" t="s">
        <v>278</v>
      </c>
      <c r="C116" s="68">
        <v>3</v>
      </c>
      <c r="D116" s="75">
        <f t="shared" si="16"/>
        <v>512413.75</v>
      </c>
      <c r="E116" s="75">
        <f t="shared" si="17"/>
        <v>717379.25</v>
      </c>
      <c r="F116" s="22">
        <f t="shared" si="32"/>
        <v>1229793</v>
      </c>
      <c r="G116" s="75">
        <f t="shared" si="18"/>
        <v>0</v>
      </c>
      <c r="H116" s="75">
        <f t="shared" si="19"/>
        <v>0</v>
      </c>
      <c r="I116" s="22">
        <f t="shared" si="33"/>
        <v>0</v>
      </c>
      <c r="J116" s="22">
        <f t="shared" si="34"/>
        <v>1229793</v>
      </c>
      <c r="K116" s="75">
        <f t="shared" si="20"/>
        <v>0</v>
      </c>
      <c r="L116" s="75">
        <f t="shared" si="21"/>
        <v>0</v>
      </c>
      <c r="M116" s="22">
        <f t="shared" si="35"/>
        <v>0</v>
      </c>
      <c r="N116" s="75">
        <f t="shared" si="22"/>
        <v>0</v>
      </c>
      <c r="O116" s="75">
        <f t="shared" si="23"/>
        <v>0</v>
      </c>
      <c r="P116" s="22">
        <f t="shared" si="36"/>
        <v>0</v>
      </c>
      <c r="Q116" s="22">
        <f t="shared" si="37"/>
        <v>0</v>
      </c>
      <c r="R116" s="22">
        <f t="shared" si="24"/>
        <v>1229793</v>
      </c>
      <c r="S116" s="98">
        <f t="shared" si="25"/>
        <v>79</v>
      </c>
      <c r="T116" s="75">
        <f t="shared" si="38"/>
        <v>15567</v>
      </c>
      <c r="U116" s="67"/>
      <c r="V116" s="75">
        <f t="shared" si="26"/>
        <v>790000</v>
      </c>
      <c r="W116" s="75">
        <f t="shared" si="27"/>
        <v>0</v>
      </c>
      <c r="X116" s="75">
        <f t="shared" si="39"/>
        <v>790000</v>
      </c>
      <c r="Y116" s="75">
        <f>VLOOKUP(A116,'2324 Funding Detail'!$A$4:$AA$20,18,FALSE)</f>
        <v>1727309.55</v>
      </c>
      <c r="Z116" s="75"/>
      <c r="AA116" s="75"/>
      <c r="AB116" s="75">
        <f t="shared" si="40"/>
        <v>937309.55</v>
      </c>
      <c r="AC116" s="75">
        <f t="shared" si="28"/>
        <v>390545.64583333337</v>
      </c>
      <c r="AD116" s="75">
        <f t="shared" si="29"/>
        <v>546763.90416666667</v>
      </c>
      <c r="AE116" s="75">
        <f t="shared" si="41"/>
        <v>937309.55</v>
      </c>
      <c r="AF116" s="75">
        <f t="shared" si="30"/>
        <v>0</v>
      </c>
      <c r="AG116" s="75">
        <f t="shared" si="31"/>
        <v>0</v>
      </c>
      <c r="AH116" s="75">
        <f t="shared" si="42"/>
        <v>0</v>
      </c>
      <c r="AI116" s="75">
        <f t="shared" si="43"/>
        <v>937309.55</v>
      </c>
      <c r="AJ116" s="99"/>
      <c r="AK116" s="528">
        <f t="shared" si="44"/>
        <v>1727309.55</v>
      </c>
      <c r="AL116" s="76" t="s">
        <v>61</v>
      </c>
      <c r="AM116" s="105"/>
      <c r="AN116" s="65">
        <f t="shared" si="45"/>
        <v>0</v>
      </c>
      <c r="AO116" s="89"/>
      <c r="AP116" s="89"/>
      <c r="AQ116" s="527"/>
      <c r="AR116" s="529"/>
      <c r="AS116" s="529"/>
      <c r="AT116" s="529"/>
      <c r="AU116" s="15"/>
      <c r="AV116" s="15"/>
      <c r="AW116" s="15"/>
      <c r="AX116" s="15"/>
      <c r="AY116" s="15"/>
      <c r="AZ116" s="15"/>
      <c r="BA116" s="15"/>
      <c r="BB116" s="15"/>
      <c r="BC116" s="15"/>
      <c r="BD116" s="15"/>
    </row>
    <row r="117" spans="1:56" ht="13" x14ac:dyDescent="0.3">
      <c r="A117" s="74">
        <v>9257032</v>
      </c>
      <c r="B117" s="67" t="s">
        <v>380</v>
      </c>
      <c r="C117" s="68">
        <v>4</v>
      </c>
      <c r="D117" s="75">
        <f t="shared" si="16"/>
        <v>674570</v>
      </c>
      <c r="E117" s="75">
        <f t="shared" si="17"/>
        <v>1044286.2500000001</v>
      </c>
      <c r="F117" s="22">
        <f t="shared" si="32"/>
        <v>1718856.25</v>
      </c>
      <c r="G117" s="75">
        <f t="shared" si="18"/>
        <v>0</v>
      </c>
      <c r="H117" s="75">
        <f t="shared" si="19"/>
        <v>0</v>
      </c>
      <c r="I117" s="22">
        <f t="shared" si="33"/>
        <v>0</v>
      </c>
      <c r="J117" s="22">
        <f t="shared" si="34"/>
        <v>1718856.25</v>
      </c>
      <c r="K117" s="75">
        <f t="shared" si="20"/>
        <v>0</v>
      </c>
      <c r="L117" s="75">
        <f t="shared" si="21"/>
        <v>0</v>
      </c>
      <c r="M117" s="22">
        <f t="shared" si="35"/>
        <v>0</v>
      </c>
      <c r="N117" s="75">
        <f t="shared" si="22"/>
        <v>0</v>
      </c>
      <c r="O117" s="75">
        <f t="shared" si="23"/>
        <v>0</v>
      </c>
      <c r="P117" s="22">
        <f t="shared" si="36"/>
        <v>0</v>
      </c>
      <c r="Q117" s="22">
        <f t="shared" si="37"/>
        <v>0</v>
      </c>
      <c r="R117" s="22">
        <f t="shared" si="24"/>
        <v>1718856.25</v>
      </c>
      <c r="S117" s="98">
        <f t="shared" si="25"/>
        <v>110.41666666666669</v>
      </c>
      <c r="T117" s="75">
        <f t="shared" si="38"/>
        <v>15566.999999999998</v>
      </c>
      <c r="U117" s="67"/>
      <c r="V117" s="75">
        <f t="shared" si="26"/>
        <v>1104166.6666666667</v>
      </c>
      <c r="W117" s="75">
        <f t="shared" si="27"/>
        <v>0</v>
      </c>
      <c r="X117" s="75">
        <f t="shared" si="39"/>
        <v>1104166.6666666667</v>
      </c>
      <c r="Y117" s="75">
        <f>VLOOKUP(A117,'2324 Funding Detail'!$A$4:$AA$20,18,FALSE)</f>
        <v>2226467.5</v>
      </c>
      <c r="Z117" s="75"/>
      <c r="AA117" s="75"/>
      <c r="AB117" s="75">
        <f t="shared" si="40"/>
        <v>1122300.8333333333</v>
      </c>
      <c r="AC117" s="75">
        <f t="shared" si="28"/>
        <v>440450.13836477976</v>
      </c>
      <c r="AD117" s="75">
        <f t="shared" si="29"/>
        <v>681850.69496855338</v>
      </c>
      <c r="AE117" s="75">
        <f t="shared" si="41"/>
        <v>1122300.833333333</v>
      </c>
      <c r="AF117" s="75">
        <f t="shared" si="30"/>
        <v>0</v>
      </c>
      <c r="AG117" s="75">
        <f t="shared" si="31"/>
        <v>0</v>
      </c>
      <c r="AH117" s="75">
        <f t="shared" si="42"/>
        <v>0</v>
      </c>
      <c r="AI117" s="75">
        <f t="shared" si="43"/>
        <v>1122300.833333333</v>
      </c>
      <c r="AJ117" s="99"/>
      <c r="AK117" s="528">
        <f t="shared" si="44"/>
        <v>2226467.5</v>
      </c>
      <c r="AL117" s="76" t="s">
        <v>61</v>
      </c>
      <c r="AM117" s="105"/>
      <c r="AN117" s="65">
        <f t="shared" si="45"/>
        <v>0</v>
      </c>
      <c r="AO117" s="89"/>
      <c r="AP117" s="89"/>
      <c r="AQ117" s="527"/>
      <c r="AR117" s="529"/>
      <c r="AS117" s="529"/>
      <c r="AT117" s="529"/>
      <c r="AU117" s="15"/>
      <c r="AV117" s="15"/>
      <c r="AW117" s="15"/>
      <c r="AX117" s="15"/>
      <c r="AY117" s="15"/>
      <c r="AZ117" s="15"/>
      <c r="BA117" s="15"/>
      <c r="BB117" s="15"/>
      <c r="BC117" s="15"/>
      <c r="BD117" s="15"/>
    </row>
    <row r="118" spans="1:56" ht="13" x14ac:dyDescent="0.3">
      <c r="A118" s="74">
        <v>9257030</v>
      </c>
      <c r="B118" s="67" t="s">
        <v>383</v>
      </c>
      <c r="C118" s="68">
        <v>4</v>
      </c>
      <c r="D118" s="75">
        <f t="shared" si="16"/>
        <v>454037.5</v>
      </c>
      <c r="E118" s="75">
        <f t="shared" si="17"/>
        <v>635652.5</v>
      </c>
      <c r="F118" s="22">
        <f t="shared" si="32"/>
        <v>1089690</v>
      </c>
      <c r="G118" s="75">
        <f t="shared" si="18"/>
        <v>0</v>
      </c>
      <c r="H118" s="75">
        <f t="shared" si="19"/>
        <v>0</v>
      </c>
      <c r="I118" s="22">
        <f t="shared" si="33"/>
        <v>0</v>
      </c>
      <c r="J118" s="22">
        <f t="shared" si="34"/>
        <v>1089690</v>
      </c>
      <c r="K118" s="75">
        <f t="shared" si="20"/>
        <v>0</v>
      </c>
      <c r="L118" s="75">
        <f t="shared" si="21"/>
        <v>0</v>
      </c>
      <c r="M118" s="22">
        <f t="shared" si="35"/>
        <v>0</v>
      </c>
      <c r="N118" s="75">
        <f t="shared" si="22"/>
        <v>0</v>
      </c>
      <c r="O118" s="75">
        <f t="shared" si="23"/>
        <v>0</v>
      </c>
      <c r="P118" s="22">
        <f t="shared" si="36"/>
        <v>0</v>
      </c>
      <c r="Q118" s="22">
        <f t="shared" si="37"/>
        <v>0</v>
      </c>
      <c r="R118" s="22">
        <f t="shared" si="24"/>
        <v>1089690</v>
      </c>
      <c r="S118" s="98">
        <f t="shared" si="25"/>
        <v>70</v>
      </c>
      <c r="T118" s="75">
        <f t="shared" si="38"/>
        <v>15567</v>
      </c>
      <c r="U118" s="67"/>
      <c r="V118" s="75">
        <f t="shared" si="26"/>
        <v>700000</v>
      </c>
      <c r="W118" s="75">
        <f t="shared" si="27"/>
        <v>0</v>
      </c>
      <c r="X118" s="75">
        <f t="shared" si="39"/>
        <v>700000</v>
      </c>
      <c r="Y118" s="75">
        <f>VLOOKUP(A118,'2324 Funding Detail'!$A$4:$AA$20,18,FALSE)</f>
        <v>1592962.2024356641</v>
      </c>
      <c r="Z118" s="75"/>
      <c r="AA118" s="75"/>
      <c r="AB118" s="75">
        <f t="shared" si="40"/>
        <v>892962.20243566413</v>
      </c>
      <c r="AC118" s="75">
        <f t="shared" si="28"/>
        <v>372067.58434819343</v>
      </c>
      <c r="AD118" s="75">
        <f t="shared" si="29"/>
        <v>520894.61808747071</v>
      </c>
      <c r="AE118" s="75">
        <f t="shared" si="41"/>
        <v>892962.20243566413</v>
      </c>
      <c r="AF118" s="75">
        <f t="shared" si="30"/>
        <v>0</v>
      </c>
      <c r="AG118" s="75">
        <f t="shared" si="31"/>
        <v>0</v>
      </c>
      <c r="AH118" s="75">
        <f t="shared" si="42"/>
        <v>0</v>
      </c>
      <c r="AI118" s="75">
        <f t="shared" si="43"/>
        <v>892962.20243566413</v>
      </c>
      <c r="AJ118" s="99"/>
      <c r="AK118" s="528">
        <f t="shared" si="44"/>
        <v>1592962.2024356641</v>
      </c>
      <c r="AL118" s="76" t="s">
        <v>61</v>
      </c>
      <c r="AM118" s="105"/>
      <c r="AN118" s="65">
        <f t="shared" si="45"/>
        <v>0</v>
      </c>
      <c r="AO118" s="89"/>
      <c r="AP118" s="89"/>
      <c r="AQ118" s="527"/>
      <c r="AR118" s="529"/>
      <c r="AS118" s="529"/>
      <c r="AT118" s="529"/>
      <c r="AU118" s="15"/>
      <c r="AV118" s="15"/>
      <c r="AW118" s="15"/>
      <c r="AX118" s="15"/>
      <c r="AY118" s="15"/>
      <c r="AZ118" s="15"/>
      <c r="BA118" s="15"/>
      <c r="BB118" s="15"/>
      <c r="BC118" s="15"/>
      <c r="BD118" s="15"/>
    </row>
    <row r="119" spans="1:56" ht="13" x14ac:dyDescent="0.3">
      <c r="A119" s="74">
        <v>9257028</v>
      </c>
      <c r="B119" s="67" t="s">
        <v>70</v>
      </c>
      <c r="C119" s="68">
        <v>5</v>
      </c>
      <c r="D119" s="75">
        <f t="shared" si="16"/>
        <v>666454.79508196726</v>
      </c>
      <c r="E119" s="75">
        <f t="shared" si="17"/>
        <v>962656.92622950824</v>
      </c>
      <c r="F119" s="22">
        <f t="shared" si="32"/>
        <v>1629111.7213114756</v>
      </c>
      <c r="G119" s="75">
        <f t="shared" si="18"/>
        <v>38083.131147540982</v>
      </c>
      <c r="H119" s="75">
        <f t="shared" si="19"/>
        <v>93092.098360655742</v>
      </c>
      <c r="I119" s="22">
        <f t="shared" si="33"/>
        <v>131175.22950819673</v>
      </c>
      <c r="J119" s="22">
        <f t="shared" si="34"/>
        <v>1760286.9508196723</v>
      </c>
      <c r="K119" s="75">
        <f t="shared" si="20"/>
        <v>0</v>
      </c>
      <c r="L119" s="75">
        <f t="shared" si="21"/>
        <v>0</v>
      </c>
      <c r="M119" s="22">
        <f t="shared" si="35"/>
        <v>0</v>
      </c>
      <c r="N119" s="75">
        <f t="shared" si="22"/>
        <v>0</v>
      </c>
      <c r="O119" s="75">
        <f t="shared" si="23"/>
        <v>0</v>
      </c>
      <c r="P119" s="22">
        <f t="shared" si="36"/>
        <v>0</v>
      </c>
      <c r="Q119" s="22">
        <f t="shared" si="37"/>
        <v>0</v>
      </c>
      <c r="R119" s="22">
        <f t="shared" si="24"/>
        <v>1760286.9508196723</v>
      </c>
      <c r="S119" s="98">
        <f t="shared" si="25"/>
        <v>138.66666666666669</v>
      </c>
      <c r="T119" s="75">
        <f t="shared" si="38"/>
        <v>12694.377049180328</v>
      </c>
      <c r="U119" s="67"/>
      <c r="V119" s="75">
        <f t="shared" si="26"/>
        <v>1283333.3333333335</v>
      </c>
      <c r="W119" s="75">
        <f t="shared" si="27"/>
        <v>103333.33333333333</v>
      </c>
      <c r="X119" s="75">
        <f t="shared" si="39"/>
        <v>1386666.6666666667</v>
      </c>
      <c r="Y119" s="75">
        <f>VLOOKUP(A119,'2324 Funding Detail'!$A$4:$AA$20,18,FALSE)</f>
        <v>2432822.8508196725</v>
      </c>
      <c r="Z119" s="75"/>
      <c r="AA119" s="75"/>
      <c r="AB119" s="75">
        <f t="shared" si="40"/>
        <v>1046156.1841530057</v>
      </c>
      <c r="AC119" s="75">
        <f t="shared" si="28"/>
        <v>396080.766836775</v>
      </c>
      <c r="AD119" s="75">
        <f t="shared" si="29"/>
        <v>572116.66320867499</v>
      </c>
      <c r="AE119" s="75">
        <f t="shared" si="41"/>
        <v>968197.43004544999</v>
      </c>
      <c r="AF119" s="75">
        <f t="shared" si="30"/>
        <v>22633.18667638714</v>
      </c>
      <c r="AG119" s="75">
        <f t="shared" si="31"/>
        <v>55325.567431168565</v>
      </c>
      <c r="AH119" s="75">
        <f t="shared" si="42"/>
        <v>77958.754107555709</v>
      </c>
      <c r="AI119" s="75">
        <f t="shared" si="43"/>
        <v>1046156.1841530057</v>
      </c>
      <c r="AJ119" s="99"/>
      <c r="AK119" s="528">
        <f t="shared" si="44"/>
        <v>2432822.8508196725</v>
      </c>
      <c r="AL119" s="76" t="s">
        <v>61</v>
      </c>
      <c r="AM119" s="105"/>
      <c r="AN119" s="65">
        <f t="shared" si="45"/>
        <v>499322.75409836054</v>
      </c>
      <c r="AO119" s="89"/>
      <c r="AP119" s="89"/>
      <c r="AQ119" s="527"/>
      <c r="AR119" s="529"/>
      <c r="AS119" s="529"/>
      <c r="AT119" s="529"/>
      <c r="AU119" s="15"/>
      <c r="AV119" s="15"/>
      <c r="AW119" s="15"/>
      <c r="AX119" s="15"/>
      <c r="AY119" s="15"/>
      <c r="AZ119" s="15"/>
      <c r="BA119" s="15"/>
      <c r="BB119" s="15"/>
      <c r="BC119" s="15"/>
      <c r="BD119" s="15"/>
    </row>
    <row r="120" spans="1:56" ht="13" x14ac:dyDescent="0.3">
      <c r="A120" s="74">
        <v>9257021</v>
      </c>
      <c r="B120" s="67" t="s">
        <v>71</v>
      </c>
      <c r="C120" s="68">
        <v>5</v>
      </c>
      <c r="D120" s="75">
        <f t="shared" si="16"/>
        <v>731445.62745098036</v>
      </c>
      <c r="E120" s="75">
        <f t="shared" si="17"/>
        <v>1029776.8215686277</v>
      </c>
      <c r="F120" s="22">
        <f t="shared" si="32"/>
        <v>1761222.4490196081</v>
      </c>
      <c r="G120" s="75">
        <f t="shared" si="18"/>
        <v>0</v>
      </c>
      <c r="H120" s="75">
        <f t="shared" si="19"/>
        <v>0</v>
      </c>
      <c r="I120" s="22">
        <f t="shared" si="33"/>
        <v>0</v>
      </c>
      <c r="J120" s="22">
        <f t="shared" si="34"/>
        <v>1761222.4490196081</v>
      </c>
      <c r="K120" s="75">
        <f t="shared" si="20"/>
        <v>0</v>
      </c>
      <c r="L120" s="75">
        <f t="shared" si="21"/>
        <v>0</v>
      </c>
      <c r="M120" s="22">
        <f t="shared" si="35"/>
        <v>0</v>
      </c>
      <c r="N120" s="75">
        <f t="shared" si="22"/>
        <v>0</v>
      </c>
      <c r="O120" s="75">
        <f t="shared" si="23"/>
        <v>0</v>
      </c>
      <c r="P120" s="22">
        <f t="shared" si="36"/>
        <v>0</v>
      </c>
      <c r="Q120" s="22">
        <f t="shared" si="37"/>
        <v>0</v>
      </c>
      <c r="R120" s="22">
        <f t="shared" si="24"/>
        <v>1761222.4490196081</v>
      </c>
      <c r="S120" s="98">
        <f t="shared" si="25"/>
        <v>178.58333333333334</v>
      </c>
      <c r="T120" s="75">
        <f t="shared" si="38"/>
        <v>9862.1882352941193</v>
      </c>
      <c r="U120" s="67"/>
      <c r="V120" s="75">
        <f t="shared" si="26"/>
        <v>1785833.3333333335</v>
      </c>
      <c r="W120" s="75">
        <f t="shared" si="27"/>
        <v>0</v>
      </c>
      <c r="X120" s="75">
        <f t="shared" si="39"/>
        <v>1785833.3333333335</v>
      </c>
      <c r="Y120" s="75">
        <f>VLOOKUP(A120,'2324 Funding Detail'!$A$4:$AA$20,18,FALSE)</f>
        <v>2452986.349019608</v>
      </c>
      <c r="Z120" s="75"/>
      <c r="AA120" s="75"/>
      <c r="AB120" s="75">
        <f t="shared" si="40"/>
        <v>667153.01568627451</v>
      </c>
      <c r="AC120" s="75">
        <f t="shared" si="28"/>
        <v>277072.41435407568</v>
      </c>
      <c r="AD120" s="75">
        <f t="shared" si="29"/>
        <v>390080.60133219877</v>
      </c>
      <c r="AE120" s="75">
        <f t="shared" si="41"/>
        <v>667153.01568627451</v>
      </c>
      <c r="AF120" s="75">
        <f t="shared" si="30"/>
        <v>0</v>
      </c>
      <c r="AG120" s="75">
        <f t="shared" si="31"/>
        <v>0</v>
      </c>
      <c r="AH120" s="75">
        <f t="shared" si="42"/>
        <v>0</v>
      </c>
      <c r="AI120" s="75">
        <f t="shared" si="43"/>
        <v>667153.01568627451</v>
      </c>
      <c r="AJ120" s="99"/>
      <c r="AK120" s="528">
        <f t="shared" si="44"/>
        <v>2452986.349019608</v>
      </c>
      <c r="AL120" s="76" t="s">
        <v>61</v>
      </c>
      <c r="AM120" s="105"/>
      <c r="AN120" s="65">
        <f t="shared" si="45"/>
        <v>51276.527450980386</v>
      </c>
      <c r="AO120" s="89"/>
      <c r="AP120" s="89"/>
      <c r="AQ120" s="527"/>
      <c r="AR120" s="529"/>
      <c r="AS120" s="529"/>
      <c r="AT120" s="529"/>
      <c r="AU120" s="15"/>
      <c r="AV120" s="15"/>
      <c r="AW120" s="15"/>
      <c r="AX120" s="15"/>
      <c r="AY120" s="15"/>
      <c r="AZ120" s="15"/>
      <c r="BA120" s="15"/>
      <c r="BB120" s="15"/>
      <c r="BC120" s="15"/>
      <c r="BD120" s="15"/>
    </row>
    <row r="121" spans="1:56" ht="13" x14ac:dyDescent="0.3">
      <c r="A121" s="74">
        <v>9257015</v>
      </c>
      <c r="B121" s="67" t="s">
        <v>72</v>
      </c>
      <c r="C121" s="68">
        <v>6</v>
      </c>
      <c r="D121" s="75">
        <f t="shared" si="16"/>
        <v>901569.51143067842</v>
      </c>
      <c r="E121" s="75">
        <f t="shared" si="17"/>
        <v>1310511.0888643069</v>
      </c>
      <c r="F121" s="22">
        <f t="shared" si="32"/>
        <v>2212080.6002949853</v>
      </c>
      <c r="G121" s="75">
        <f t="shared" si="18"/>
        <v>55215.740412979343</v>
      </c>
      <c r="H121" s="75">
        <f t="shared" si="19"/>
        <v>158745.25368731562</v>
      </c>
      <c r="I121" s="22">
        <f t="shared" si="33"/>
        <v>213960.99410029495</v>
      </c>
      <c r="J121" s="22">
        <f t="shared" si="34"/>
        <v>2426041.5943952803</v>
      </c>
      <c r="K121" s="75">
        <f t="shared" si="20"/>
        <v>0</v>
      </c>
      <c r="L121" s="75">
        <f t="shared" si="21"/>
        <v>0</v>
      </c>
      <c r="M121" s="22">
        <f t="shared" si="35"/>
        <v>0</v>
      </c>
      <c r="N121" s="75">
        <f t="shared" si="22"/>
        <v>0</v>
      </c>
      <c r="O121" s="75">
        <f t="shared" si="23"/>
        <v>0</v>
      </c>
      <c r="P121" s="22">
        <f t="shared" si="36"/>
        <v>0</v>
      </c>
      <c r="Q121" s="22">
        <f t="shared" si="37"/>
        <v>0</v>
      </c>
      <c r="R121" s="22">
        <f t="shared" si="24"/>
        <v>2426041.5943952803</v>
      </c>
      <c r="S121" s="98">
        <f t="shared" si="25"/>
        <v>234.33333333333337</v>
      </c>
      <c r="T121" s="75">
        <f t="shared" si="38"/>
        <v>10352.951327433628</v>
      </c>
      <c r="U121" s="67"/>
      <c r="V121" s="75">
        <f t="shared" si="26"/>
        <v>2136666.666666667</v>
      </c>
      <c r="W121" s="75">
        <f t="shared" si="27"/>
        <v>206666.66666666663</v>
      </c>
      <c r="X121" s="75">
        <f t="shared" si="39"/>
        <v>2343333.3333333335</v>
      </c>
      <c r="Y121" s="75">
        <f>VLOOKUP(A121,'2324 Funding Detail'!$A$4:$AA$20,18,FALSE)</f>
        <v>3254687.5943952799</v>
      </c>
      <c r="Z121" s="75"/>
      <c r="AA121" s="75"/>
      <c r="AB121" s="75">
        <f t="shared" si="40"/>
        <v>911354.2610619464</v>
      </c>
      <c r="AC121" s="75">
        <f t="shared" si="28"/>
        <v>338678.94836761511</v>
      </c>
      <c r="AD121" s="75">
        <f t="shared" si="29"/>
        <v>492299.83021091612</v>
      </c>
      <c r="AE121" s="75">
        <f t="shared" si="41"/>
        <v>830978.77857853123</v>
      </c>
      <c r="AF121" s="75">
        <f t="shared" si="30"/>
        <v>20742.05999571997</v>
      </c>
      <c r="AG121" s="75">
        <f t="shared" si="31"/>
        <v>59633.422487694916</v>
      </c>
      <c r="AH121" s="75">
        <f t="shared" si="42"/>
        <v>80375.482483414889</v>
      </c>
      <c r="AI121" s="75">
        <f t="shared" si="43"/>
        <v>911354.26106194616</v>
      </c>
      <c r="AJ121" s="99"/>
      <c r="AK121" s="528">
        <f t="shared" si="44"/>
        <v>3254687.5943952799</v>
      </c>
      <c r="AL121" s="76" t="s">
        <v>61</v>
      </c>
      <c r="AM121" s="105"/>
      <c r="AN121" s="65">
        <f t="shared" si="45"/>
        <v>101223.70501474924</v>
      </c>
      <c r="AO121" s="89"/>
      <c r="AP121" s="89"/>
      <c r="AQ121" s="527"/>
      <c r="AR121" s="529"/>
      <c r="AS121" s="529"/>
      <c r="AT121" s="529"/>
      <c r="AU121" s="15"/>
      <c r="AV121" s="15"/>
      <c r="AW121" s="15"/>
      <c r="AX121" s="15"/>
      <c r="AY121" s="15"/>
      <c r="AZ121" s="15"/>
      <c r="BA121" s="15"/>
      <c r="BB121" s="15"/>
      <c r="BC121" s="15"/>
      <c r="BD121" s="15"/>
    </row>
    <row r="122" spans="1:56" ht="13" x14ac:dyDescent="0.3">
      <c r="A122" s="74">
        <v>9257016</v>
      </c>
      <c r="B122" s="67" t="s">
        <v>73</v>
      </c>
      <c r="C122" s="68">
        <v>6</v>
      </c>
      <c r="D122" s="75">
        <f t="shared" si="16"/>
        <v>696212.41666666686</v>
      </c>
      <c r="E122" s="75">
        <f t="shared" si="17"/>
        <v>992102.69375000009</v>
      </c>
      <c r="F122" s="22">
        <f t="shared" si="32"/>
        <v>1688315.1104166671</v>
      </c>
      <c r="G122" s="75">
        <f t="shared" si="18"/>
        <v>268539.07499999995</v>
      </c>
      <c r="H122" s="75">
        <f t="shared" si="19"/>
        <v>507240.47500000009</v>
      </c>
      <c r="I122" s="22">
        <f t="shared" si="33"/>
        <v>775779.55</v>
      </c>
      <c r="J122" s="22">
        <f>F122+I122</f>
        <v>2464094.6604166673</v>
      </c>
      <c r="K122" s="75">
        <f t="shared" si="20"/>
        <v>0</v>
      </c>
      <c r="L122" s="75">
        <f t="shared" si="21"/>
        <v>0</v>
      </c>
      <c r="M122" s="22">
        <f t="shared" si="35"/>
        <v>0</v>
      </c>
      <c r="N122" s="75">
        <f t="shared" si="22"/>
        <v>0</v>
      </c>
      <c r="O122" s="75">
        <f t="shared" si="23"/>
        <v>0</v>
      </c>
      <c r="P122" s="22">
        <f t="shared" si="36"/>
        <v>0</v>
      </c>
      <c r="Q122" s="22">
        <f t="shared" si="37"/>
        <v>0</v>
      </c>
      <c r="R122" s="22">
        <f t="shared" si="24"/>
        <v>2464094.6604166673</v>
      </c>
      <c r="S122" s="98">
        <f t="shared" si="25"/>
        <v>165.16666666666669</v>
      </c>
      <c r="T122" s="75">
        <f t="shared" si="38"/>
        <v>14918.837500000003</v>
      </c>
      <c r="U122" s="67"/>
      <c r="V122" s="75">
        <f t="shared" si="26"/>
        <v>1131666.6666666667</v>
      </c>
      <c r="W122" s="75">
        <f t="shared" si="27"/>
        <v>520000</v>
      </c>
      <c r="X122" s="75">
        <f t="shared" si="39"/>
        <v>1651666.6666666667</v>
      </c>
      <c r="Y122" s="75">
        <f>VLOOKUP(A122,'2324 Funding Detail'!$A$4:$AA$20,18,FALSE)</f>
        <v>3253803.9604166676</v>
      </c>
      <c r="Z122" s="75"/>
      <c r="AA122" s="75"/>
      <c r="AB122" s="75">
        <f t="shared" si="40"/>
        <v>1602137.2937500009</v>
      </c>
      <c r="AC122" s="75">
        <f t="shared" si="28"/>
        <v>452672.49470232113</v>
      </c>
      <c r="AD122" s="75">
        <f t="shared" si="29"/>
        <v>645058.30495080748</v>
      </c>
      <c r="AE122" s="75">
        <f t="shared" si="41"/>
        <v>1097730.7996531287</v>
      </c>
      <c r="AF122" s="75">
        <f t="shared" si="30"/>
        <v>174602.24795660956</v>
      </c>
      <c r="AG122" s="75">
        <f t="shared" si="31"/>
        <v>329804.24614026246</v>
      </c>
      <c r="AH122" s="75">
        <f t="shared" si="42"/>
        <v>504406.49409687205</v>
      </c>
      <c r="AI122" s="75">
        <f t="shared" si="43"/>
        <v>1602137.2937500007</v>
      </c>
      <c r="AJ122" s="99"/>
      <c r="AK122" s="528">
        <f t="shared" si="44"/>
        <v>3253803.9604166676</v>
      </c>
      <c r="AL122" s="76" t="s">
        <v>61</v>
      </c>
      <c r="AM122" s="105"/>
      <c r="AN122" s="65">
        <f t="shared" si="45"/>
        <v>856599.75416666653</v>
      </c>
      <c r="AO122" s="89"/>
      <c r="AP122" s="89"/>
      <c r="AQ122" s="527"/>
      <c r="AR122" s="529"/>
      <c r="AS122" s="529"/>
      <c r="AT122" s="529"/>
      <c r="AU122" s="15"/>
      <c r="AV122" s="15"/>
      <c r="AW122" s="15"/>
      <c r="AX122" s="15"/>
      <c r="AY122" s="15"/>
      <c r="AZ122" s="15"/>
      <c r="BA122" s="15"/>
      <c r="BB122" s="15"/>
      <c r="BC122" s="15"/>
      <c r="BD122" s="15"/>
    </row>
    <row r="123" spans="1:56" x14ac:dyDescent="0.25">
      <c r="A123" s="15"/>
      <c r="B123" s="15"/>
      <c r="C123" s="15"/>
      <c r="D123" s="15"/>
      <c r="E123" s="15"/>
      <c r="F123" s="64"/>
      <c r="G123" s="64"/>
      <c r="H123" s="15"/>
      <c r="I123" s="15"/>
      <c r="J123" s="15"/>
      <c r="K123" s="15"/>
      <c r="L123" s="15"/>
      <c r="M123" s="15"/>
      <c r="N123" s="15"/>
      <c r="O123" s="15"/>
      <c r="P123" s="15"/>
      <c r="Q123" s="15"/>
      <c r="R123" s="64"/>
      <c r="S123" s="100"/>
      <c r="T123" s="15"/>
      <c r="U123" s="15"/>
      <c r="V123" s="15"/>
      <c r="W123" s="15"/>
      <c r="X123" s="15"/>
      <c r="Y123" s="15"/>
      <c r="Z123" s="15"/>
      <c r="AA123" s="15"/>
      <c r="AB123" s="15"/>
      <c r="AC123" s="15"/>
      <c r="AD123" s="15"/>
      <c r="AE123" s="15"/>
      <c r="AF123" s="15"/>
      <c r="AG123" s="15"/>
      <c r="AH123" s="15"/>
      <c r="AI123" s="15"/>
      <c r="AJ123" s="15"/>
      <c r="AK123" s="15"/>
      <c r="AL123" s="15"/>
      <c r="AM123" s="15"/>
      <c r="AN123" s="64"/>
      <c r="AO123" s="89"/>
      <c r="AP123" s="527"/>
      <c r="AQ123" s="527"/>
      <c r="AR123" s="527"/>
      <c r="AS123" s="527"/>
      <c r="AT123" s="527"/>
      <c r="AU123" s="15"/>
      <c r="AV123" s="15"/>
      <c r="AW123" s="15"/>
      <c r="AX123" s="15"/>
      <c r="AY123" s="15"/>
      <c r="AZ123" s="15"/>
      <c r="BA123" s="15"/>
      <c r="BB123" s="15"/>
      <c r="BC123" s="15"/>
      <c r="BD123" s="15"/>
    </row>
    <row r="124" spans="1:56" ht="13" thickBot="1" x14ac:dyDescent="0.3">
      <c r="A124" s="15"/>
      <c r="B124" s="15"/>
      <c r="C124" s="15"/>
      <c r="D124" s="79">
        <f t="shared" ref="D124:S124" si="46">SUM(D106:D122)</f>
        <v>9437278.8819449414</v>
      </c>
      <c r="E124" s="79">
        <f t="shared" si="46"/>
        <v>13795664.566982439</v>
      </c>
      <c r="F124" s="79">
        <f t="shared" si="46"/>
        <v>23232943.448927376</v>
      </c>
      <c r="G124" s="79">
        <f t="shared" si="46"/>
        <v>813281.62071084615</v>
      </c>
      <c r="H124" s="79">
        <f t="shared" si="46"/>
        <v>1668905.6987185967</v>
      </c>
      <c r="I124" s="79">
        <f t="shared" si="46"/>
        <v>2482187.3194294432</v>
      </c>
      <c r="J124" s="79">
        <f t="shared" si="46"/>
        <v>25715130.768356819</v>
      </c>
      <c r="K124" s="79">
        <f t="shared" si="46"/>
        <v>0</v>
      </c>
      <c r="L124" s="79">
        <f t="shared" si="46"/>
        <v>0</v>
      </c>
      <c r="M124" s="79">
        <f t="shared" si="46"/>
        <v>0</v>
      </c>
      <c r="N124" s="79">
        <f t="shared" si="46"/>
        <v>0</v>
      </c>
      <c r="O124" s="79">
        <f t="shared" si="46"/>
        <v>0</v>
      </c>
      <c r="P124" s="79">
        <f t="shared" si="46"/>
        <v>0</v>
      </c>
      <c r="Q124" s="79">
        <f t="shared" si="46"/>
        <v>0</v>
      </c>
      <c r="R124" s="79">
        <f t="shared" si="46"/>
        <v>25715130.768356819</v>
      </c>
      <c r="S124" s="530">
        <f t="shared" si="46"/>
        <v>2184.5833333333335</v>
      </c>
      <c r="T124" s="79">
        <f>AVERAGE(T106:T122)</f>
        <v>12158.030447535753</v>
      </c>
      <c r="U124" s="15"/>
      <c r="V124" s="531">
        <f t="shared" ref="V124:AI124" si="47">SUM(V106:V122)</f>
        <v>19799166.666666668</v>
      </c>
      <c r="W124" s="531">
        <f t="shared" si="47"/>
        <v>2046666.6666666665</v>
      </c>
      <c r="X124" s="532">
        <f t="shared" si="47"/>
        <v>21845833.333333332</v>
      </c>
      <c r="Y124" s="532">
        <f t="shared" si="47"/>
        <v>36243473.508919761</v>
      </c>
      <c r="Z124" s="532">
        <f t="shared" si="47"/>
        <v>0</v>
      </c>
      <c r="AA124" s="532">
        <f t="shared" si="47"/>
        <v>0</v>
      </c>
      <c r="AB124" s="532">
        <f t="shared" si="47"/>
        <v>14397640.175586417</v>
      </c>
      <c r="AC124" s="532">
        <f t="shared" si="47"/>
        <v>5263889.578103411</v>
      </c>
      <c r="AD124" s="532">
        <f t="shared" si="47"/>
        <v>7668869.7599384245</v>
      </c>
      <c r="AE124" s="532">
        <f t="shared" si="47"/>
        <v>12932759.338041835</v>
      </c>
      <c r="AF124" s="532">
        <f t="shared" si="47"/>
        <v>487628.48751616385</v>
      </c>
      <c r="AG124" s="532">
        <f t="shared" si="47"/>
        <v>977252.35002841859</v>
      </c>
      <c r="AH124" s="532">
        <f t="shared" si="47"/>
        <v>1464880.8375445826</v>
      </c>
      <c r="AI124" s="532">
        <f t="shared" si="47"/>
        <v>14397640.175586417</v>
      </c>
      <c r="AJ124" s="533"/>
      <c r="AK124" s="532">
        <f>SUM(AK106:AK122)</f>
        <v>36243473.508919761</v>
      </c>
      <c r="AL124" s="104" t="s">
        <v>61</v>
      </c>
      <c r="AM124" s="15"/>
      <c r="AN124" s="65">
        <f>SUM(AN106:AN123)</f>
        <v>2568117.9419588335</v>
      </c>
      <c r="AO124" s="89"/>
      <c r="AP124" s="89"/>
      <c r="AQ124" s="527"/>
      <c r="AR124" s="527"/>
      <c r="AS124" s="527"/>
      <c r="AT124" s="527"/>
      <c r="AU124" s="15"/>
      <c r="AV124" s="15"/>
      <c r="AW124" s="15"/>
      <c r="AX124" s="15"/>
      <c r="AY124" s="15"/>
      <c r="AZ124" s="15"/>
      <c r="BA124" s="15"/>
      <c r="BB124" s="15"/>
      <c r="BC124" s="15"/>
      <c r="BD124" s="15"/>
    </row>
    <row r="125" spans="1:56" x14ac:dyDescent="0.25">
      <c r="A125" s="15"/>
      <c r="B125" s="15"/>
      <c r="C125" s="15"/>
      <c r="D125" s="15"/>
      <c r="E125" s="15"/>
      <c r="F125" s="64"/>
      <c r="G125" s="64"/>
      <c r="H125" s="15"/>
      <c r="I125" s="15"/>
      <c r="J125" s="15"/>
      <c r="K125" s="15"/>
      <c r="L125" s="15"/>
      <c r="M125" s="15"/>
      <c r="N125" s="15"/>
      <c r="O125" s="15"/>
      <c r="P125" s="15"/>
      <c r="Q125" s="15"/>
      <c r="R125" s="64"/>
      <c r="S125" s="100"/>
      <c r="T125" s="15"/>
      <c r="U125" s="15"/>
      <c r="V125" s="15"/>
      <c r="W125" s="15"/>
      <c r="X125" s="15"/>
      <c r="Y125" s="15"/>
      <c r="Z125" s="15"/>
      <c r="AA125" s="15"/>
      <c r="AB125" s="15"/>
      <c r="AC125" s="15"/>
      <c r="AD125" s="15"/>
      <c r="AE125" s="15"/>
      <c r="AF125" s="15"/>
      <c r="AG125" s="15"/>
      <c r="AH125" s="15"/>
      <c r="AI125" s="15"/>
      <c r="AJ125" s="15"/>
      <c r="AK125" s="15"/>
      <c r="AL125" s="15"/>
      <c r="AM125" s="15"/>
      <c r="AN125" s="15"/>
      <c r="AO125" s="527"/>
      <c r="AP125" s="527"/>
      <c r="AQ125" s="527"/>
      <c r="AR125" s="527"/>
      <c r="AS125" s="527"/>
      <c r="AT125" s="527"/>
      <c r="AU125" s="15"/>
      <c r="AV125" s="15"/>
      <c r="AW125" s="15"/>
      <c r="AX125" s="64"/>
      <c r="AY125" s="64"/>
      <c r="AZ125" s="15"/>
      <c r="BA125" s="15"/>
      <c r="BB125" s="64"/>
      <c r="BC125" s="64"/>
      <c r="BD125" s="64"/>
    </row>
    <row r="126" spans="1:56" x14ac:dyDescent="0.25">
      <c r="A126" s="15"/>
      <c r="B126" s="15"/>
      <c r="C126" s="15"/>
      <c r="D126" s="131" t="s">
        <v>61</v>
      </c>
      <c r="E126" s="131" t="s">
        <v>61</v>
      </c>
      <c r="F126" s="131" t="s">
        <v>61</v>
      </c>
      <c r="G126" s="131" t="s">
        <v>61</v>
      </c>
      <c r="H126" s="131" t="s">
        <v>61</v>
      </c>
      <c r="I126" s="131" t="s">
        <v>61</v>
      </c>
      <c r="J126" s="131" t="s">
        <v>61</v>
      </c>
      <c r="K126" s="131" t="s">
        <v>61</v>
      </c>
      <c r="L126" s="131" t="s">
        <v>61</v>
      </c>
      <c r="M126" s="131" t="s">
        <v>61</v>
      </c>
      <c r="N126" s="131" t="s">
        <v>61</v>
      </c>
      <c r="O126" s="131" t="s">
        <v>61</v>
      </c>
      <c r="P126" s="131" t="s">
        <v>61</v>
      </c>
      <c r="Q126" s="131" t="s">
        <v>61</v>
      </c>
      <c r="R126" s="131" t="s">
        <v>61</v>
      </c>
      <c r="S126" s="63"/>
      <c r="T126" s="106"/>
      <c r="U126" s="15"/>
      <c r="V126" s="106"/>
      <c r="W126" s="106"/>
      <c r="X126" s="106"/>
      <c r="Y126" s="106"/>
      <c r="Z126" s="106"/>
      <c r="AA126" s="106"/>
      <c r="AB126" s="106"/>
      <c r="AC126" s="106"/>
      <c r="AD126" s="106"/>
      <c r="AE126" s="106"/>
      <c r="AF126" s="106"/>
      <c r="AG126" s="106"/>
      <c r="AH126" s="106"/>
      <c r="AI126" s="106"/>
      <c r="AJ126" s="106"/>
      <c r="AK126" s="106"/>
      <c r="AL126" s="15"/>
      <c r="AM126" s="15"/>
      <c r="AN126" s="15"/>
      <c r="AO126" s="15"/>
      <c r="AP126" s="104"/>
      <c r="AQ126" s="15"/>
      <c r="AR126" s="15"/>
      <c r="AS126" s="15"/>
      <c r="AT126" s="15"/>
      <c r="AU126" s="15"/>
      <c r="AV126" s="15"/>
      <c r="AW126" s="15"/>
      <c r="AX126" s="64"/>
      <c r="AY126" s="64"/>
      <c r="AZ126" s="15"/>
      <c r="BA126" s="15"/>
      <c r="BB126" s="64"/>
      <c r="BC126" s="64"/>
      <c r="BD126" s="64"/>
    </row>
    <row r="128" spans="1:56" x14ac:dyDescent="0.25">
      <c r="A128" s="15"/>
      <c r="B128" s="15"/>
      <c r="C128" s="15"/>
      <c r="D128" s="15"/>
      <c r="E128" s="15"/>
      <c r="F128" s="15"/>
      <c r="G128" s="15"/>
      <c r="H128" s="15"/>
      <c r="I128" s="64"/>
      <c r="J128" s="64"/>
      <c r="K128" s="15"/>
      <c r="L128" s="15"/>
      <c r="M128" s="15"/>
      <c r="N128" s="15"/>
      <c r="O128" s="15"/>
      <c r="P128" s="15"/>
      <c r="Q128" s="15"/>
      <c r="R128" s="64"/>
      <c r="S128" s="100"/>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64"/>
      <c r="AY128" s="64"/>
      <c r="AZ128" s="15"/>
      <c r="BA128" s="15"/>
      <c r="BB128" s="64"/>
      <c r="BC128" s="64"/>
      <c r="BD128" s="64"/>
    </row>
    <row r="129" spans="2:56" x14ac:dyDescent="0.25">
      <c r="B129" s="15"/>
      <c r="C129" s="15"/>
      <c r="D129" s="15"/>
      <c r="E129" s="15"/>
      <c r="F129" s="15"/>
      <c r="G129" s="15"/>
      <c r="H129" s="15"/>
      <c r="I129" s="64"/>
      <c r="J129" s="64"/>
      <c r="K129" s="15"/>
      <c r="L129" s="15"/>
      <c r="M129" s="15"/>
      <c r="N129" s="15"/>
      <c r="O129" s="15"/>
      <c r="P129" s="15"/>
      <c r="Q129" s="15"/>
      <c r="R129" s="64" t="s">
        <v>732</v>
      </c>
      <c r="S129" s="88" t="s">
        <v>733</v>
      </c>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64"/>
      <c r="AY129" s="64"/>
      <c r="AZ129" s="15"/>
      <c r="BA129" s="15"/>
      <c r="BB129" s="64"/>
      <c r="BC129" s="64"/>
      <c r="BD129" s="64"/>
    </row>
    <row r="130" spans="2:56" ht="13" x14ac:dyDescent="0.3">
      <c r="B130" s="15"/>
      <c r="C130" s="15"/>
      <c r="D130" s="15"/>
      <c r="E130" s="15"/>
      <c r="F130" s="15"/>
      <c r="G130" s="15"/>
      <c r="H130" s="15"/>
      <c r="I130" s="64"/>
      <c r="J130" s="64"/>
      <c r="K130" s="15"/>
      <c r="L130" s="15"/>
      <c r="M130" s="15"/>
      <c r="N130" s="15"/>
      <c r="O130" s="67" t="s">
        <v>60</v>
      </c>
      <c r="P130" s="15"/>
      <c r="Q130" s="15"/>
      <c r="R130" s="600">
        <v>1450702.9222110419</v>
      </c>
      <c r="S130" s="601">
        <v>1635422.2145255746</v>
      </c>
      <c r="T130" s="602">
        <f>R130-S130</f>
        <v>-184719.29231453268</v>
      </c>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64"/>
      <c r="AY130" s="64"/>
      <c r="AZ130" s="15"/>
      <c r="BA130" s="15"/>
      <c r="BB130" s="64"/>
      <c r="BC130" s="64"/>
      <c r="BD130" s="64"/>
    </row>
    <row r="131" spans="2:56" ht="13" x14ac:dyDescent="0.3">
      <c r="B131" s="15"/>
      <c r="C131" s="15"/>
      <c r="D131" s="15"/>
      <c r="E131" s="15"/>
      <c r="F131" s="15"/>
      <c r="G131" s="15"/>
      <c r="H131" s="15"/>
      <c r="I131" s="64"/>
      <c r="J131" s="64"/>
      <c r="K131" s="15"/>
      <c r="L131" s="15"/>
      <c r="M131" s="15"/>
      <c r="N131" s="15"/>
      <c r="O131" s="67" t="s">
        <v>63</v>
      </c>
      <c r="P131" s="15"/>
      <c r="Q131" s="15"/>
      <c r="R131" s="600">
        <v>1111087.4538852279</v>
      </c>
      <c r="S131" s="601">
        <v>1110307.5958656566</v>
      </c>
      <c r="T131" s="602">
        <f t="shared" ref="T131:T147" si="48">R131-S131</f>
        <v>779.85801957128569</v>
      </c>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64"/>
      <c r="AY131" s="64"/>
      <c r="AZ131" s="15"/>
      <c r="BA131" s="15"/>
      <c r="BB131" s="64"/>
      <c r="BC131" s="64"/>
      <c r="BD131" s="64"/>
    </row>
    <row r="132" spans="2:56" ht="13" x14ac:dyDescent="0.3">
      <c r="B132" s="15"/>
      <c r="C132" s="15"/>
      <c r="D132" s="15"/>
      <c r="E132" s="15"/>
      <c r="F132" s="15"/>
      <c r="G132" s="15"/>
      <c r="H132" s="15"/>
      <c r="I132" s="64"/>
      <c r="J132" s="64"/>
      <c r="K132" s="15"/>
      <c r="L132" s="15"/>
      <c r="M132" s="15"/>
      <c r="N132" s="15"/>
      <c r="O132" s="67" t="s">
        <v>64</v>
      </c>
      <c r="P132" s="15"/>
      <c r="Q132" s="15"/>
      <c r="R132" s="600">
        <v>938087.7152146895</v>
      </c>
      <c r="S132" s="601">
        <v>968642.14997835143</v>
      </c>
      <c r="T132" s="602">
        <f t="shared" si="48"/>
        <v>-30554.434763661935</v>
      </c>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64"/>
      <c r="AY132" s="64"/>
      <c r="AZ132" s="15"/>
      <c r="BA132" s="15"/>
      <c r="BB132" s="64"/>
      <c r="BC132" s="64"/>
      <c r="BD132" s="64"/>
    </row>
    <row r="133" spans="2:56" ht="13" x14ac:dyDescent="0.3">
      <c r="B133" s="15" t="s">
        <v>60</v>
      </c>
      <c r="C133" s="15"/>
      <c r="D133" s="607">
        <v>6.1224489795918366E-2</v>
      </c>
      <c r="E133" s="607">
        <v>0.42857142857142855</v>
      </c>
      <c r="F133" s="607">
        <v>7.1428571428571425E-2</v>
      </c>
      <c r="G133" s="607">
        <v>0.1326530612244898</v>
      </c>
      <c r="H133" s="607">
        <v>8.1632653061224483E-2</v>
      </c>
      <c r="I133" s="87">
        <v>0.11224489795918367</v>
      </c>
      <c r="J133" s="87">
        <v>0.11224489795918367</v>
      </c>
      <c r="K133" s="15"/>
      <c r="L133" s="15"/>
      <c r="M133" s="15"/>
      <c r="N133" s="15"/>
      <c r="O133" s="67" t="s">
        <v>65</v>
      </c>
      <c r="P133" s="15"/>
      <c r="Q133" s="15"/>
      <c r="R133" s="600">
        <v>803973.59114669659</v>
      </c>
      <c r="S133" s="601">
        <v>809291.27659107023</v>
      </c>
      <c r="T133" s="602">
        <f t="shared" si="48"/>
        <v>-5317.6854443736374</v>
      </c>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64"/>
      <c r="AY133" s="64"/>
      <c r="AZ133" s="15"/>
      <c r="BA133" s="15"/>
      <c r="BB133" s="64"/>
      <c r="BC133" s="64"/>
      <c r="BD133" s="64"/>
    </row>
    <row r="134" spans="2:56" ht="13" x14ac:dyDescent="0.3">
      <c r="B134" s="15" t="s">
        <v>63</v>
      </c>
      <c r="C134" s="15"/>
      <c r="D134" s="607">
        <v>5.8139534883720929E-2</v>
      </c>
      <c r="E134" s="607">
        <v>0.38372093023255816</v>
      </c>
      <c r="F134" s="607">
        <v>9.3023255813953487E-2</v>
      </c>
      <c r="G134" s="607">
        <v>0.13953488372093023</v>
      </c>
      <c r="H134" s="607">
        <v>0.11627906976744186</v>
      </c>
      <c r="I134" s="87">
        <v>0.15116279069767441</v>
      </c>
      <c r="J134" s="87">
        <v>5.8139534883720929E-2</v>
      </c>
      <c r="K134" s="15"/>
      <c r="L134" s="15"/>
      <c r="M134" s="15"/>
      <c r="N134" s="15"/>
      <c r="O134" s="67" t="s">
        <v>66</v>
      </c>
      <c r="P134" s="15"/>
      <c r="Q134" s="15"/>
      <c r="R134" s="600">
        <v>981968.02846039541</v>
      </c>
      <c r="S134" s="601">
        <v>1043499.875183222</v>
      </c>
      <c r="T134" s="602">
        <f t="shared" si="48"/>
        <v>-61531.846722826594</v>
      </c>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64"/>
      <c r="AY134" s="64"/>
      <c r="AZ134" s="15"/>
      <c r="BA134" s="15"/>
      <c r="BB134" s="64"/>
      <c r="BC134" s="64"/>
      <c r="BD134" s="64"/>
    </row>
    <row r="135" spans="2:56" ht="13" x14ac:dyDescent="0.3">
      <c r="B135" s="15" t="s">
        <v>64</v>
      </c>
      <c r="C135" s="15"/>
      <c r="D135" s="607">
        <v>0.13924050632911392</v>
      </c>
      <c r="E135" s="607">
        <v>0.46835443037974683</v>
      </c>
      <c r="F135" s="607">
        <v>3.7974683544303799E-2</v>
      </c>
      <c r="G135" s="607">
        <v>0.11392405063291139</v>
      </c>
      <c r="H135" s="607">
        <v>3.7974683544303799E-2</v>
      </c>
      <c r="I135" s="87">
        <v>0.15189873417721519</v>
      </c>
      <c r="J135" s="87">
        <v>5.0632911392405063E-2</v>
      </c>
      <c r="K135" s="15"/>
      <c r="L135" s="15"/>
      <c r="M135" s="15"/>
      <c r="N135" s="15"/>
      <c r="O135" s="67" t="s">
        <v>84</v>
      </c>
      <c r="P135" s="15"/>
      <c r="Q135" s="15"/>
      <c r="R135" s="600">
        <v>1215325.5284515372</v>
      </c>
      <c r="S135" s="601">
        <v>1215325.5284515372</v>
      </c>
      <c r="T135" s="602">
        <f t="shared" si="48"/>
        <v>0</v>
      </c>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64"/>
      <c r="AY135" s="64"/>
      <c r="AZ135" s="15"/>
      <c r="BA135" s="15"/>
      <c r="BB135" s="64"/>
      <c r="BC135" s="64"/>
      <c r="BD135" s="64"/>
    </row>
    <row r="136" spans="2:56" ht="13" x14ac:dyDescent="0.3">
      <c r="B136" s="15" t="s">
        <v>66</v>
      </c>
      <c r="C136" s="15"/>
      <c r="D136" s="607">
        <v>7.1428571428571425E-2</v>
      </c>
      <c r="E136" s="607">
        <v>0.51190476190476186</v>
      </c>
      <c r="F136" s="607">
        <v>2.3809523809523808E-2</v>
      </c>
      <c r="G136" s="607">
        <v>0.17857142857142858</v>
      </c>
      <c r="H136" s="607">
        <v>8.3333333333333329E-2</v>
      </c>
      <c r="I136" s="87">
        <v>7.1428571428571425E-2</v>
      </c>
      <c r="J136" s="87">
        <v>5.9523809523809521E-2</v>
      </c>
      <c r="K136" s="15"/>
      <c r="L136" s="15"/>
      <c r="M136" s="15"/>
      <c r="N136" s="15"/>
      <c r="O136" s="67" t="s">
        <v>74</v>
      </c>
      <c r="P136" s="15"/>
      <c r="Q136" s="15"/>
      <c r="R136" s="600">
        <v>997252.27983884769</v>
      </c>
      <c r="S136" s="601">
        <v>1037445.9249206006</v>
      </c>
      <c r="T136" s="602">
        <f t="shared" si="48"/>
        <v>-40193.645081752911</v>
      </c>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64"/>
      <c r="AY136" s="64"/>
      <c r="AZ136" s="15"/>
      <c r="BA136" s="15"/>
      <c r="BB136" s="64"/>
      <c r="BC136" s="64"/>
      <c r="BD136" s="64"/>
    </row>
    <row r="137" spans="2:56" ht="13" x14ac:dyDescent="0.3">
      <c r="B137" s="15" t="s">
        <v>84</v>
      </c>
      <c r="C137" s="15"/>
      <c r="D137" s="607">
        <v>0</v>
      </c>
      <c r="E137" s="607">
        <v>0</v>
      </c>
      <c r="F137" s="607">
        <v>1</v>
      </c>
      <c r="G137" s="607">
        <v>0</v>
      </c>
      <c r="H137" s="607">
        <v>0</v>
      </c>
      <c r="I137" s="87">
        <v>0</v>
      </c>
      <c r="J137" s="87">
        <v>0</v>
      </c>
      <c r="K137" s="15"/>
      <c r="L137" s="15"/>
      <c r="M137" s="15"/>
      <c r="N137" s="15"/>
      <c r="O137" s="67" t="s">
        <v>67</v>
      </c>
      <c r="P137" s="15"/>
      <c r="Q137" s="15"/>
      <c r="R137" s="600">
        <v>956233.34251339128</v>
      </c>
      <c r="S137" s="601">
        <v>1017880.0443109286</v>
      </c>
      <c r="T137" s="602">
        <f t="shared" si="48"/>
        <v>-61646.701797537273</v>
      </c>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64"/>
      <c r="AY137" s="64"/>
      <c r="AZ137" s="15"/>
      <c r="BA137" s="15"/>
      <c r="BB137" s="64"/>
      <c r="BC137" s="64"/>
      <c r="BD137" s="64"/>
    </row>
    <row r="138" spans="2:56" ht="13" x14ac:dyDescent="0.3">
      <c r="B138" s="15" t="s">
        <v>74</v>
      </c>
      <c r="C138" s="15"/>
      <c r="D138" s="607">
        <v>0.1388888888888889</v>
      </c>
      <c r="E138" s="607">
        <v>0.62962962962962965</v>
      </c>
      <c r="F138" s="607">
        <v>4.6296296296296294E-2</v>
      </c>
      <c r="G138" s="607">
        <v>0.10185185185185185</v>
      </c>
      <c r="H138" s="607">
        <v>3.7037037037037035E-2</v>
      </c>
      <c r="I138" s="87">
        <v>3.7037037037037035E-2</v>
      </c>
      <c r="J138" s="87">
        <v>9.2592592592592587E-3</v>
      </c>
      <c r="K138" s="15"/>
      <c r="L138" s="15"/>
      <c r="M138" s="15"/>
      <c r="N138" s="15"/>
      <c r="O138" s="67" t="s">
        <v>75</v>
      </c>
      <c r="P138" s="15"/>
      <c r="Q138" s="15"/>
      <c r="R138" s="600">
        <v>1102419.9694233148</v>
      </c>
      <c r="S138" s="601">
        <v>1153797.2462213296</v>
      </c>
      <c r="T138" s="602">
        <f t="shared" si="48"/>
        <v>-51377.276798014762</v>
      </c>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64"/>
      <c r="AY138" s="64"/>
      <c r="AZ138" s="15"/>
      <c r="BA138" s="15"/>
      <c r="BB138" s="64"/>
      <c r="BC138" s="64"/>
      <c r="BD138" s="64"/>
    </row>
    <row r="139" spans="2:56" ht="13" x14ac:dyDescent="0.3">
      <c r="B139" s="15" t="s">
        <v>67</v>
      </c>
      <c r="C139" s="15"/>
      <c r="D139" s="607">
        <v>0.11</v>
      </c>
      <c r="E139" s="607">
        <v>0.64</v>
      </c>
      <c r="F139" s="607">
        <v>7.0000000000000007E-2</v>
      </c>
      <c r="G139" s="607">
        <v>0.09</v>
      </c>
      <c r="H139" s="607">
        <v>0</v>
      </c>
      <c r="I139" s="87">
        <v>0.09</v>
      </c>
      <c r="J139" s="87">
        <v>0</v>
      </c>
      <c r="K139" s="15"/>
      <c r="L139" s="15"/>
      <c r="M139" s="15"/>
      <c r="N139" s="15"/>
      <c r="O139" s="67" t="s">
        <v>68</v>
      </c>
      <c r="P139" s="15"/>
      <c r="Q139" s="15"/>
      <c r="R139" s="600">
        <v>1484746.1499078074</v>
      </c>
      <c r="S139" s="601">
        <v>1458580.2296437109</v>
      </c>
      <c r="T139" s="602">
        <f t="shared" si="48"/>
        <v>26165.920264096465</v>
      </c>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64"/>
      <c r="AY139" s="64"/>
      <c r="AZ139" s="15"/>
      <c r="BA139" s="15"/>
      <c r="BB139" s="64"/>
      <c r="BC139" s="64"/>
      <c r="BD139" s="64"/>
    </row>
    <row r="140" spans="2:56" ht="13" x14ac:dyDescent="0.3">
      <c r="B140" s="15" t="s">
        <v>75</v>
      </c>
      <c r="C140" s="15"/>
      <c r="D140" s="607">
        <v>0.44444444444444442</v>
      </c>
      <c r="E140" s="607">
        <v>0.32407407407407407</v>
      </c>
      <c r="F140" s="607">
        <v>9.2592592592592587E-2</v>
      </c>
      <c r="G140" s="607">
        <v>4.6296296296296294E-2</v>
      </c>
      <c r="H140" s="607">
        <v>2.7777777777777776E-2</v>
      </c>
      <c r="I140" s="87">
        <v>5.5555555555555552E-2</v>
      </c>
      <c r="J140" s="87">
        <v>9.2592592592592587E-3</v>
      </c>
      <c r="K140" s="15"/>
      <c r="L140" s="15"/>
      <c r="M140" s="15"/>
      <c r="N140" s="15"/>
      <c r="O140" s="67" t="s">
        <v>69</v>
      </c>
      <c r="P140" s="15"/>
      <c r="Q140" s="15"/>
      <c r="R140" s="600">
        <v>1234626.8435036717</v>
      </c>
      <c r="S140" s="601">
        <v>1230417.7710770133</v>
      </c>
      <c r="T140" s="602">
        <f t="shared" si="48"/>
        <v>4209.0724266583566</v>
      </c>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64"/>
      <c r="AY140" s="64"/>
      <c r="AZ140" s="15"/>
      <c r="BA140" s="15"/>
      <c r="BB140" s="64"/>
      <c r="BC140" s="64"/>
      <c r="BD140" s="64"/>
    </row>
    <row r="141" spans="2:56" ht="13" x14ac:dyDescent="0.3">
      <c r="B141" s="15" t="s">
        <v>68</v>
      </c>
      <c r="C141" s="15"/>
      <c r="D141" s="607">
        <v>0.33557046979865773</v>
      </c>
      <c r="E141" s="607">
        <v>0.38926174496644295</v>
      </c>
      <c r="F141" s="607">
        <v>0.13422818791946309</v>
      </c>
      <c r="G141" s="607">
        <v>3.3557046979865772E-2</v>
      </c>
      <c r="H141" s="607">
        <v>2.0134228187919462E-2</v>
      </c>
      <c r="I141" s="87">
        <v>7.3825503355704702E-2</v>
      </c>
      <c r="J141" s="87">
        <v>1.3422818791946308E-2</v>
      </c>
      <c r="K141" s="15"/>
      <c r="L141" s="15"/>
      <c r="M141" s="15"/>
      <c r="N141" s="15"/>
      <c r="O141" s="67" t="s">
        <v>278</v>
      </c>
      <c r="P141" s="15"/>
      <c r="Q141" s="15"/>
      <c r="R141" s="600">
        <v>1187618.6252122277</v>
      </c>
      <c r="S141" s="601">
        <v>1187618.6252122277</v>
      </c>
      <c r="T141" s="602">
        <f t="shared" si="48"/>
        <v>0</v>
      </c>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64"/>
      <c r="AY141" s="64"/>
      <c r="AZ141" s="15"/>
      <c r="BA141" s="15"/>
      <c r="BB141" s="64"/>
      <c r="BC141" s="64"/>
      <c r="BD141" s="64"/>
    </row>
    <row r="142" spans="2:56" ht="13" x14ac:dyDescent="0.3">
      <c r="B142" s="15" t="s">
        <v>69</v>
      </c>
      <c r="C142" s="15"/>
      <c r="D142" s="607">
        <v>0.16666666666666666</v>
      </c>
      <c r="E142" s="607">
        <v>0.532258064516129</v>
      </c>
      <c r="F142" s="607">
        <v>5.9139784946236562E-2</v>
      </c>
      <c r="G142" s="607">
        <v>7.5268817204301078E-2</v>
      </c>
      <c r="H142" s="607">
        <v>3.7634408602150539E-2</v>
      </c>
      <c r="I142" s="87">
        <v>8.0645161290322578E-2</v>
      </c>
      <c r="J142" s="87">
        <v>4.8387096774193547E-2</v>
      </c>
      <c r="K142" s="15"/>
      <c r="L142" s="15"/>
      <c r="M142" s="15"/>
      <c r="N142" s="15"/>
      <c r="O142" s="67" t="s">
        <v>380</v>
      </c>
      <c r="P142" s="15"/>
      <c r="Q142" s="15"/>
      <c r="R142" s="600">
        <v>1571737.0564844753</v>
      </c>
      <c r="S142" s="601">
        <v>1571737.0564844753</v>
      </c>
      <c r="T142" s="602">
        <f t="shared" si="48"/>
        <v>0</v>
      </c>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64"/>
      <c r="AY142" s="64"/>
      <c r="AZ142" s="15"/>
      <c r="BA142" s="15"/>
      <c r="BB142" s="64"/>
      <c r="BC142" s="64"/>
      <c r="BD142" s="64"/>
    </row>
    <row r="143" spans="2:56" ht="13" x14ac:dyDescent="0.3">
      <c r="B143" s="15" t="s">
        <v>278</v>
      </c>
      <c r="C143" s="15"/>
      <c r="D143" s="607">
        <v>0</v>
      </c>
      <c r="E143" s="607">
        <v>0</v>
      </c>
      <c r="F143" s="607">
        <v>1</v>
      </c>
      <c r="G143" s="607">
        <v>0</v>
      </c>
      <c r="H143" s="607">
        <v>0</v>
      </c>
      <c r="I143" s="87">
        <v>0</v>
      </c>
      <c r="J143" s="87">
        <v>0</v>
      </c>
      <c r="K143" s="15"/>
      <c r="L143" s="15"/>
      <c r="M143" s="15"/>
      <c r="N143" s="15"/>
      <c r="O143" s="67" t="s">
        <v>383</v>
      </c>
      <c r="P143" s="15"/>
      <c r="Q143" s="15"/>
      <c r="R143" s="600">
        <v>1070493.9887915095</v>
      </c>
      <c r="S143" s="601">
        <v>1070493.9887915095</v>
      </c>
      <c r="T143" s="602">
        <f t="shared" si="48"/>
        <v>0</v>
      </c>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64"/>
      <c r="AY143" s="64"/>
      <c r="AZ143" s="15"/>
      <c r="BA143" s="15"/>
      <c r="BB143" s="64"/>
      <c r="BC143" s="64"/>
      <c r="BD143" s="64"/>
    </row>
    <row r="144" spans="2:56" ht="13" x14ac:dyDescent="0.3">
      <c r="B144" s="15" t="s">
        <v>380</v>
      </c>
      <c r="C144" s="15"/>
      <c r="D144" s="607">
        <v>0</v>
      </c>
      <c r="E144" s="607">
        <v>0</v>
      </c>
      <c r="F144" s="607">
        <v>1</v>
      </c>
      <c r="G144" s="607">
        <v>0</v>
      </c>
      <c r="H144" s="607">
        <v>0</v>
      </c>
      <c r="I144" s="87">
        <v>0</v>
      </c>
      <c r="J144" s="87">
        <v>0</v>
      </c>
      <c r="K144" s="15"/>
      <c r="L144" s="15"/>
      <c r="M144" s="15"/>
      <c r="N144" s="15"/>
      <c r="O144" s="67" t="s">
        <v>70</v>
      </c>
      <c r="P144" s="15"/>
      <c r="Q144" s="15"/>
      <c r="R144" s="600">
        <v>1590171.732654036</v>
      </c>
      <c r="S144" s="601">
        <v>1618611.5745486002</v>
      </c>
      <c r="T144" s="602">
        <f t="shared" si="48"/>
        <v>-28439.841894564219</v>
      </c>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64"/>
      <c r="AY144" s="64"/>
      <c r="AZ144" s="15"/>
      <c r="BA144" s="15"/>
      <c r="BB144" s="64"/>
      <c r="BC144" s="64"/>
      <c r="BD144" s="64"/>
    </row>
    <row r="145" spans="2:20" ht="13" x14ac:dyDescent="0.3">
      <c r="B145" s="15" t="s">
        <v>383</v>
      </c>
      <c r="C145" s="15"/>
      <c r="D145" s="607">
        <v>0</v>
      </c>
      <c r="E145" s="607">
        <v>0</v>
      </c>
      <c r="F145" s="607">
        <v>1</v>
      </c>
      <c r="G145" s="607">
        <v>0</v>
      </c>
      <c r="H145" s="607">
        <v>0</v>
      </c>
      <c r="I145" s="87">
        <v>0</v>
      </c>
      <c r="J145" s="87">
        <v>0</v>
      </c>
      <c r="K145" s="15"/>
      <c r="L145" s="15"/>
      <c r="M145" s="15"/>
      <c r="N145" s="15"/>
      <c r="O145" s="67" t="s">
        <v>71</v>
      </c>
      <c r="P145" s="15"/>
      <c r="Q145" s="15"/>
      <c r="R145" s="600">
        <v>1676380.6480545243</v>
      </c>
      <c r="S145" s="601">
        <v>1721195.0373406732</v>
      </c>
      <c r="T145" s="602">
        <f t="shared" si="48"/>
        <v>-44814.389286148828</v>
      </c>
    </row>
    <row r="146" spans="2:20" ht="13" x14ac:dyDescent="0.3">
      <c r="B146" s="15" t="s">
        <v>70</v>
      </c>
      <c r="C146" s="15"/>
      <c r="D146" s="607">
        <v>9.2436974789915971E-2</v>
      </c>
      <c r="E146" s="607">
        <v>0.44537815126050423</v>
      </c>
      <c r="F146" s="607">
        <v>7.5630252100840331E-2</v>
      </c>
      <c r="G146" s="607">
        <v>9.2436974789915971E-2</v>
      </c>
      <c r="H146" s="607">
        <v>9.2436974789915971E-2</v>
      </c>
      <c r="I146" s="87">
        <v>7.5630252100840331E-2</v>
      </c>
      <c r="J146" s="87">
        <v>0.12605042016806722</v>
      </c>
      <c r="K146" s="15"/>
      <c r="L146" s="15"/>
      <c r="M146" s="15"/>
      <c r="N146" s="15"/>
      <c r="O146" s="67" t="s">
        <v>72</v>
      </c>
      <c r="P146" s="15"/>
      <c r="Q146" s="15"/>
      <c r="R146" s="600">
        <v>2226865.9728884418</v>
      </c>
      <c r="S146" s="601">
        <v>2200327.8220654116</v>
      </c>
      <c r="T146" s="602">
        <f t="shared" si="48"/>
        <v>26538.150823030155</v>
      </c>
    </row>
    <row r="147" spans="2:20" ht="13" x14ac:dyDescent="0.3">
      <c r="B147" s="15" t="s">
        <v>71</v>
      </c>
      <c r="C147" s="15"/>
      <c r="D147" s="607">
        <v>0.25146198830409355</v>
      </c>
      <c r="E147" s="607">
        <v>0.47368421052631576</v>
      </c>
      <c r="F147" s="607">
        <v>9.3567251461988299E-2</v>
      </c>
      <c r="G147" s="607">
        <v>7.6023391812865493E-2</v>
      </c>
      <c r="H147" s="607">
        <v>3.5087719298245612E-2</v>
      </c>
      <c r="I147" s="87">
        <v>5.8479532163742687E-2</v>
      </c>
      <c r="J147" s="87">
        <v>1.1695906432748537E-2</v>
      </c>
      <c r="K147" s="15"/>
      <c r="L147" s="15"/>
      <c r="M147" s="15"/>
      <c r="N147" s="15"/>
      <c r="O147" s="67" t="s">
        <v>73</v>
      </c>
      <c r="P147" s="15"/>
      <c r="Q147" s="15"/>
      <c r="R147" s="600">
        <v>2366444.7040477116</v>
      </c>
      <c r="S147" s="601">
        <v>2365878.4006585167</v>
      </c>
      <c r="T147" s="602">
        <f t="shared" si="48"/>
        <v>566.30338919488713</v>
      </c>
    </row>
    <row r="148" spans="2:20" x14ac:dyDescent="0.25">
      <c r="B148" s="15" t="s">
        <v>72</v>
      </c>
      <c r="C148" s="15"/>
      <c r="D148" s="607">
        <v>0.31555555555555553</v>
      </c>
      <c r="E148" s="607">
        <v>0.38666666666666666</v>
      </c>
      <c r="F148" s="607">
        <v>1.7777777777777778E-2</v>
      </c>
      <c r="G148" s="607">
        <v>9.3333333333333338E-2</v>
      </c>
      <c r="H148" s="607">
        <v>1.7777777777777778E-2</v>
      </c>
      <c r="I148" s="87">
        <v>0.16</v>
      </c>
      <c r="J148" s="87">
        <v>8.8888888888888889E-3</v>
      </c>
      <c r="K148" s="15"/>
      <c r="L148" s="15"/>
      <c r="M148" s="15"/>
      <c r="N148" s="15"/>
      <c r="O148" s="15"/>
      <c r="P148" s="15"/>
      <c r="Q148" s="15"/>
      <c r="R148" s="64"/>
      <c r="S148" s="100"/>
      <c r="T148" s="15"/>
    </row>
    <row r="149" spans="2:20" x14ac:dyDescent="0.25">
      <c r="B149" s="15" t="s">
        <v>73</v>
      </c>
      <c r="C149" s="15"/>
      <c r="D149" s="607">
        <v>0.15337423312883436</v>
      </c>
      <c r="E149" s="607">
        <v>0.19018404907975461</v>
      </c>
      <c r="F149" s="607">
        <v>1.2269938650306749E-2</v>
      </c>
      <c r="G149" s="607">
        <v>0.22699386503067484</v>
      </c>
      <c r="H149" s="607">
        <v>0.18404907975460122</v>
      </c>
      <c r="I149" s="87">
        <v>1.8404907975460124E-2</v>
      </c>
      <c r="J149" s="87">
        <v>0.21472392638036811</v>
      </c>
      <c r="K149" s="15"/>
      <c r="L149" s="15"/>
      <c r="M149" s="15"/>
      <c r="N149" s="15"/>
      <c r="O149" s="15"/>
      <c r="P149" s="15"/>
      <c r="Q149" s="15"/>
      <c r="R149" s="64"/>
      <c r="S149" s="100"/>
      <c r="T149" s="65">
        <f>SUM(T130:T148)</f>
        <v>-450335.80918086169</v>
      </c>
    </row>
    <row r="153" spans="2:20" x14ac:dyDescent="0.25">
      <c r="B153" s="15" t="s">
        <v>60</v>
      </c>
      <c r="C153" s="15"/>
      <c r="D153" s="607">
        <f t="shared" ref="D153:J162" si="49">D69-D133</f>
        <v>4.6158060539652102E-2</v>
      </c>
      <c r="E153" s="654">
        <f t="shared" si="49"/>
        <v>2.1093000958772812E-2</v>
      </c>
      <c r="F153" s="654">
        <f t="shared" si="49"/>
        <v>-1.1025886864813032E-2</v>
      </c>
      <c r="G153" s="654">
        <f t="shared" si="49"/>
        <v>2.842076427886589E-2</v>
      </c>
      <c r="H153" s="654">
        <f t="shared" si="49"/>
        <v>-7.8071497055197808E-3</v>
      </c>
      <c r="I153" s="654">
        <f t="shared" si="49"/>
        <v>-4.5130803999452129E-2</v>
      </c>
      <c r="J153" s="654">
        <f t="shared" si="49"/>
        <v>-3.1707985207505826E-2</v>
      </c>
      <c r="K153" s="15"/>
      <c r="L153" s="15"/>
      <c r="M153" s="15"/>
      <c r="N153" s="15"/>
      <c r="O153" s="15"/>
      <c r="P153" s="15"/>
      <c r="Q153" s="15"/>
      <c r="R153" s="64"/>
      <c r="S153" s="100"/>
      <c r="T153" s="15"/>
    </row>
    <row r="154" spans="2:20" x14ac:dyDescent="0.25">
      <c r="B154" s="15" t="s">
        <v>63</v>
      </c>
      <c r="C154" s="15"/>
      <c r="D154" s="654">
        <f t="shared" si="49"/>
        <v>2.6367507369800196E-2</v>
      </c>
      <c r="E154" s="654">
        <f t="shared" si="49"/>
        <v>-3.1608254176220152E-2</v>
      </c>
      <c r="F154" s="654">
        <f t="shared" si="49"/>
        <v>-8.5162135604323619E-3</v>
      </c>
      <c r="G154" s="654">
        <f t="shared" si="49"/>
        <v>-1.2774320340648543E-2</v>
      </c>
      <c r="H154" s="654">
        <f t="shared" si="49"/>
        <v>-3.6030134294136873E-3</v>
      </c>
      <c r="I154" s="654">
        <f t="shared" si="49"/>
        <v>1.7851293809367841E-2</v>
      </c>
      <c r="J154" s="654">
        <f t="shared" si="49"/>
        <v>1.228300032754668E-2</v>
      </c>
      <c r="K154" s="15"/>
      <c r="L154" s="15"/>
      <c r="M154" s="15"/>
      <c r="N154" s="15"/>
      <c r="O154" s="15"/>
      <c r="P154" s="15"/>
      <c r="Q154" s="15"/>
      <c r="R154" s="64"/>
      <c r="S154" s="100"/>
      <c r="T154" s="15"/>
    </row>
    <row r="155" spans="2:20" x14ac:dyDescent="0.25">
      <c r="B155" s="15" t="s">
        <v>64</v>
      </c>
      <c r="C155" s="15"/>
      <c r="D155" s="654">
        <f t="shared" si="49"/>
        <v>-5.9071729957805852E-3</v>
      </c>
      <c r="E155" s="654">
        <f t="shared" si="49"/>
        <v>6.4978902953586493E-2</v>
      </c>
      <c r="F155" s="654">
        <f t="shared" si="49"/>
        <v>6.4697609001406475E-3</v>
      </c>
      <c r="G155" s="654">
        <f t="shared" si="49"/>
        <v>-2.8129395218002839E-3</v>
      </c>
      <c r="H155" s="654">
        <f t="shared" si="49"/>
        <v>-2.6863572433192685E-2</v>
      </c>
      <c r="I155" s="654">
        <f t="shared" si="49"/>
        <v>-2.9676511954992976E-2</v>
      </c>
      <c r="J155" s="654">
        <f t="shared" si="49"/>
        <v>-6.1884669479606164E-3</v>
      </c>
      <c r="K155" s="15"/>
      <c r="L155" s="15"/>
      <c r="M155" s="15"/>
      <c r="N155" s="15"/>
      <c r="O155" s="15"/>
      <c r="P155" s="15"/>
      <c r="Q155" s="15"/>
      <c r="R155" s="64"/>
      <c r="S155" s="100"/>
      <c r="T155" s="15"/>
    </row>
    <row r="156" spans="2:20" x14ac:dyDescent="0.25">
      <c r="B156" s="15" t="s">
        <v>66</v>
      </c>
      <c r="C156" s="15"/>
      <c r="D156" s="654">
        <f t="shared" si="49"/>
        <v>1.0924369747899162E-2</v>
      </c>
      <c r="E156" s="654">
        <f t="shared" si="49"/>
        <v>2.9271708683473396E-2</v>
      </c>
      <c r="F156" s="654">
        <f t="shared" si="49"/>
        <v>-1.2044817927170867E-2</v>
      </c>
      <c r="G156" s="654">
        <f t="shared" si="49"/>
        <v>-2.1008403361344463E-3</v>
      </c>
      <c r="H156" s="654">
        <f t="shared" si="49"/>
        <v>-1.2745098039215683E-2</v>
      </c>
      <c r="I156" s="654">
        <f t="shared" si="49"/>
        <v>-2.4369747899159661E-2</v>
      </c>
      <c r="J156" s="654">
        <f t="shared" si="49"/>
        <v>1.1064425770308126E-2</v>
      </c>
      <c r="K156" s="15"/>
      <c r="L156" s="15"/>
      <c r="M156" s="15"/>
      <c r="N156" s="15"/>
      <c r="O156" s="15"/>
      <c r="P156" s="15"/>
      <c r="Q156" s="15"/>
      <c r="R156" s="64"/>
      <c r="S156" s="100"/>
      <c r="T156" s="15"/>
    </row>
    <row r="157" spans="2:20" x14ac:dyDescent="0.25">
      <c r="B157" s="15" t="s">
        <v>84</v>
      </c>
      <c r="C157" s="15"/>
      <c r="D157" s="654">
        <f t="shared" si="49"/>
        <v>0</v>
      </c>
      <c r="E157" s="654">
        <f t="shared" si="49"/>
        <v>0</v>
      </c>
      <c r="F157" s="654">
        <f t="shared" si="49"/>
        <v>0</v>
      </c>
      <c r="G157" s="654">
        <f t="shared" si="49"/>
        <v>0</v>
      </c>
      <c r="H157" s="654">
        <f t="shared" si="49"/>
        <v>0</v>
      </c>
      <c r="I157" s="654">
        <f t="shared" si="49"/>
        <v>0</v>
      </c>
      <c r="J157" s="654">
        <f t="shared" si="49"/>
        <v>0</v>
      </c>
      <c r="K157" s="15"/>
      <c r="L157" s="15"/>
      <c r="M157" s="15"/>
      <c r="N157" s="15"/>
      <c r="O157" s="15"/>
      <c r="P157" s="15"/>
      <c r="Q157" s="15"/>
      <c r="R157" s="64"/>
      <c r="S157" s="100"/>
      <c r="T157" s="15"/>
    </row>
    <row r="158" spans="2:20" x14ac:dyDescent="0.25">
      <c r="B158" s="15" t="s">
        <v>74</v>
      </c>
      <c r="C158" s="15"/>
      <c r="D158" s="654">
        <f t="shared" si="49"/>
        <v>-3.7537537537537524E-3</v>
      </c>
      <c r="E158" s="654">
        <f t="shared" si="49"/>
        <v>4.6046046046046007E-2</v>
      </c>
      <c r="F158" s="654">
        <f t="shared" si="49"/>
        <v>-3.7287287287287287E-2</v>
      </c>
      <c r="G158" s="654">
        <f t="shared" si="49"/>
        <v>-1.176176176176176E-2</v>
      </c>
      <c r="H158" s="654">
        <f t="shared" si="49"/>
        <v>8.0080080080080079E-3</v>
      </c>
      <c r="I158" s="654">
        <f t="shared" si="49"/>
        <v>-1.0010010010010006E-2</v>
      </c>
      <c r="J158" s="654">
        <f t="shared" si="49"/>
        <v>8.7587587587587591E-3</v>
      </c>
      <c r="K158" s="15"/>
      <c r="L158" s="15"/>
      <c r="M158" s="15"/>
      <c r="N158" s="15"/>
      <c r="O158" s="15"/>
      <c r="P158" s="15"/>
      <c r="Q158" s="15"/>
      <c r="R158" s="64"/>
      <c r="S158" s="100"/>
      <c r="T158" s="15"/>
    </row>
    <row r="159" spans="2:20" x14ac:dyDescent="0.25">
      <c r="B159" s="15" t="s">
        <v>67</v>
      </c>
      <c r="C159" s="15"/>
      <c r="D159" s="654">
        <f t="shared" si="49"/>
        <v>4.8415841584158417E-2</v>
      </c>
      <c r="E159" s="654">
        <f t="shared" si="49"/>
        <v>-1.6237623762376252E-2</v>
      </c>
      <c r="F159" s="654">
        <f t="shared" si="49"/>
        <v>-2.0495049504950499E-2</v>
      </c>
      <c r="G159" s="654">
        <f t="shared" si="49"/>
        <v>1.8910891089108914E-2</v>
      </c>
      <c r="H159" s="654">
        <f t="shared" si="49"/>
        <v>0</v>
      </c>
      <c r="I159" s="654">
        <f t="shared" si="49"/>
        <v>-3.0594059405940593E-2</v>
      </c>
      <c r="J159" s="654">
        <f t="shared" si="49"/>
        <v>0</v>
      </c>
      <c r="K159" s="15"/>
      <c r="L159" s="15"/>
      <c r="M159" s="15"/>
      <c r="N159" s="15"/>
      <c r="O159" s="15"/>
      <c r="P159" s="15"/>
      <c r="Q159" s="15"/>
      <c r="R159" s="64"/>
      <c r="S159" s="100"/>
      <c r="T159" s="15"/>
    </row>
    <row r="160" spans="2:20" x14ac:dyDescent="0.25">
      <c r="B160" s="15" t="s">
        <v>75</v>
      </c>
      <c r="C160" s="15"/>
      <c r="D160" s="654">
        <f t="shared" si="49"/>
        <v>-1.7094017094017089E-2</v>
      </c>
      <c r="E160" s="654">
        <f t="shared" si="49"/>
        <v>2.6353276353276334E-2</v>
      </c>
      <c r="F160" s="654">
        <f t="shared" si="49"/>
        <v>1.4245014245014287E-3</v>
      </c>
      <c r="G160" s="654">
        <f t="shared" si="49"/>
        <v>4.9857549857549865E-3</v>
      </c>
      <c r="H160" s="654">
        <f t="shared" si="49"/>
        <v>-2.1367521367521361E-3</v>
      </c>
      <c r="I160" s="654">
        <f t="shared" si="49"/>
        <v>-1.2820512820512817E-2</v>
      </c>
      <c r="J160" s="654">
        <f t="shared" si="49"/>
        <v>-7.1225071225071088E-4</v>
      </c>
      <c r="K160" s="15"/>
      <c r="L160" s="15"/>
      <c r="M160" s="15"/>
      <c r="N160" s="15"/>
      <c r="O160" s="15"/>
      <c r="P160" s="15"/>
      <c r="Q160" s="15"/>
      <c r="R160" s="64"/>
      <c r="S160" s="100"/>
      <c r="T160" s="15"/>
    </row>
    <row r="161" spans="2:10" x14ac:dyDescent="0.25">
      <c r="B161" s="15" t="s">
        <v>68</v>
      </c>
      <c r="C161" s="15"/>
      <c r="D161" s="654">
        <f t="shared" si="49"/>
        <v>-0.15874120150597482</v>
      </c>
      <c r="E161" s="654">
        <f t="shared" si="49"/>
        <v>0.12903093796038634</v>
      </c>
      <c r="F161" s="654">
        <f t="shared" si="49"/>
        <v>-6.1794074316582071E-3</v>
      </c>
      <c r="G161" s="654">
        <f t="shared" si="49"/>
        <v>3.0283188737927624E-3</v>
      </c>
      <c r="H161" s="654">
        <f t="shared" si="49"/>
        <v>1.0353576690129318E-2</v>
      </c>
      <c r="I161" s="654">
        <f t="shared" si="49"/>
        <v>2.3735472254051398E-2</v>
      </c>
      <c r="J161" s="654">
        <f t="shared" si="49"/>
        <v>-1.2276968407267958E-3</v>
      </c>
    </row>
    <row r="162" spans="2:10" x14ac:dyDescent="0.25">
      <c r="B162" s="15" t="s">
        <v>69</v>
      </c>
      <c r="C162" s="15"/>
      <c r="D162" s="654">
        <f t="shared" si="49"/>
        <v>5.9221658206429773E-3</v>
      </c>
      <c r="E162" s="654">
        <f t="shared" si="49"/>
        <v>-2.4643851318159493E-2</v>
      </c>
      <c r="F162" s="654">
        <f t="shared" si="49"/>
        <v>6.850062769499482E-3</v>
      </c>
      <c r="G162" s="654">
        <f t="shared" si="49"/>
        <v>5.9494569073740428E-3</v>
      </c>
      <c r="H162" s="654">
        <f t="shared" si="49"/>
        <v>-2.1014136782926685E-3</v>
      </c>
      <c r="I162" s="654">
        <f t="shared" si="49"/>
        <v>5.6492549533322389E-3</v>
      </c>
      <c r="J162" s="654">
        <f t="shared" si="49"/>
        <v>2.3743245456034068E-3</v>
      </c>
    </row>
    <row r="163" spans="2:10" x14ac:dyDescent="0.25">
      <c r="B163" s="15" t="s">
        <v>278</v>
      </c>
      <c r="C163" s="15"/>
      <c r="D163" s="654">
        <f t="shared" ref="D163:J169" si="50">D79-D143</f>
        <v>0</v>
      </c>
      <c r="E163" s="654">
        <f t="shared" si="50"/>
        <v>0</v>
      </c>
      <c r="F163" s="654">
        <f t="shared" si="50"/>
        <v>0</v>
      </c>
      <c r="G163" s="654">
        <f t="shared" si="50"/>
        <v>0</v>
      </c>
      <c r="H163" s="654">
        <f t="shared" si="50"/>
        <v>0</v>
      </c>
      <c r="I163" s="654">
        <f t="shared" si="50"/>
        <v>0</v>
      </c>
      <c r="J163" s="654">
        <f t="shared" si="50"/>
        <v>0</v>
      </c>
    </row>
    <row r="164" spans="2:10" x14ac:dyDescent="0.25">
      <c r="B164" s="15" t="s">
        <v>380</v>
      </c>
      <c r="C164" s="15"/>
      <c r="D164" s="654">
        <f t="shared" si="50"/>
        <v>0</v>
      </c>
      <c r="E164" s="654">
        <f t="shared" si="50"/>
        <v>0</v>
      </c>
      <c r="F164" s="654">
        <f t="shared" si="50"/>
        <v>0</v>
      </c>
      <c r="G164" s="654">
        <f t="shared" si="50"/>
        <v>0</v>
      </c>
      <c r="H164" s="654">
        <f t="shared" si="50"/>
        <v>0</v>
      </c>
      <c r="I164" s="654">
        <f t="shared" si="50"/>
        <v>0</v>
      </c>
      <c r="J164" s="654">
        <f t="shared" si="50"/>
        <v>0</v>
      </c>
    </row>
    <row r="165" spans="2:10" x14ac:dyDescent="0.25">
      <c r="B165" s="15" t="s">
        <v>383</v>
      </c>
      <c r="C165" s="15"/>
      <c r="D165" s="654">
        <f t="shared" si="50"/>
        <v>0</v>
      </c>
      <c r="E165" s="654">
        <f t="shared" si="50"/>
        <v>0</v>
      </c>
      <c r="F165" s="654">
        <f t="shared" si="50"/>
        <v>0</v>
      </c>
      <c r="G165" s="654">
        <f t="shared" si="50"/>
        <v>0</v>
      </c>
      <c r="H165" s="654">
        <f t="shared" si="50"/>
        <v>0</v>
      </c>
      <c r="I165" s="654">
        <f t="shared" si="50"/>
        <v>0</v>
      </c>
      <c r="J165" s="654">
        <f t="shared" si="50"/>
        <v>0</v>
      </c>
    </row>
    <row r="166" spans="2:10" x14ac:dyDescent="0.25">
      <c r="B166" s="15" t="s">
        <v>70</v>
      </c>
      <c r="C166" s="15"/>
      <c r="D166" s="654">
        <f t="shared" si="50"/>
        <v>-2.2730403636864599E-3</v>
      </c>
      <c r="E166" s="654">
        <f t="shared" si="50"/>
        <v>1.3638242182118732E-2</v>
      </c>
      <c r="F166" s="654">
        <f t="shared" si="50"/>
        <v>-1.0056481609037049E-2</v>
      </c>
      <c r="G166" s="654">
        <f t="shared" si="50"/>
        <v>-1.0469761675161879E-2</v>
      </c>
      <c r="H166" s="654">
        <f t="shared" si="50"/>
        <v>-2.2730403636864599E-3</v>
      </c>
      <c r="I166" s="654">
        <f t="shared" si="50"/>
        <v>-1.0056481609037049E-2</v>
      </c>
      <c r="J166" s="654">
        <f t="shared" si="50"/>
        <v>2.1490563438490151E-2</v>
      </c>
    </row>
    <row r="167" spans="2:10" x14ac:dyDescent="0.25">
      <c r="B167" s="15" t="s">
        <v>71</v>
      </c>
      <c r="C167" s="15"/>
      <c r="D167" s="654">
        <f t="shared" si="50"/>
        <v>-3.9697282421740615E-2</v>
      </c>
      <c r="E167" s="654">
        <f t="shared" si="50"/>
        <v>4.9845201238390147E-2</v>
      </c>
      <c r="F167" s="654">
        <f t="shared" si="50"/>
        <v>1.231510147918817E-2</v>
      </c>
      <c r="G167" s="654">
        <f t="shared" si="50"/>
        <v>-5.4351565187478468E-3</v>
      </c>
      <c r="H167" s="654">
        <f t="shared" si="50"/>
        <v>-5.6759545923632596E-3</v>
      </c>
      <c r="I167" s="654">
        <f t="shared" si="50"/>
        <v>-1.1420708634330923E-2</v>
      </c>
      <c r="J167" s="654">
        <f t="shared" si="50"/>
        <v>6.8799449604403651E-5</v>
      </c>
    </row>
    <row r="168" spans="2:10" x14ac:dyDescent="0.25">
      <c r="B168" s="15" t="s">
        <v>72</v>
      </c>
      <c r="C168" s="15"/>
      <c r="D168" s="654">
        <f t="shared" si="50"/>
        <v>-4.5644051130776797E-2</v>
      </c>
      <c r="E168" s="654">
        <f t="shared" si="50"/>
        <v>3.3687315634218284E-2</v>
      </c>
      <c r="F168" s="654">
        <f t="shared" si="50"/>
        <v>4.3461160275319564E-3</v>
      </c>
      <c r="G168" s="654">
        <f t="shared" si="50"/>
        <v>-4.8377581120944008E-3</v>
      </c>
      <c r="H168" s="654">
        <f t="shared" si="50"/>
        <v>4.3461160275319564E-3</v>
      </c>
      <c r="I168" s="654">
        <f t="shared" si="50"/>
        <v>-7.0796460176991705E-4</v>
      </c>
      <c r="J168" s="654">
        <f t="shared" si="50"/>
        <v>8.8102261553588985E-3</v>
      </c>
    </row>
    <row r="169" spans="2:10" x14ac:dyDescent="0.25">
      <c r="B169" s="15" t="s">
        <v>73</v>
      </c>
      <c r="C169" s="15"/>
      <c r="D169" s="654">
        <f t="shared" si="50"/>
        <v>-3.4624233128834364E-2</v>
      </c>
      <c r="E169" s="654">
        <f t="shared" si="50"/>
        <v>2.2315950920245381E-2</v>
      </c>
      <c r="F169" s="654">
        <f t="shared" si="50"/>
        <v>2.3006134969325194E-4</v>
      </c>
      <c r="G169" s="654">
        <f t="shared" si="50"/>
        <v>1.6756134969325154E-2</v>
      </c>
      <c r="H169" s="654">
        <f t="shared" si="50"/>
        <v>-2.7990797546012247E-3</v>
      </c>
      <c r="I169" s="654">
        <f t="shared" si="50"/>
        <v>3.4509202453987531E-4</v>
      </c>
      <c r="J169" s="654">
        <f t="shared" si="50"/>
        <v>-2.2239263803681131E-3</v>
      </c>
    </row>
    <row r="170" spans="2:10" x14ac:dyDescent="0.25">
      <c r="B170" s="15"/>
      <c r="C170" s="15"/>
      <c r="D170" s="655" t="s">
        <v>280</v>
      </c>
      <c r="E170" s="655" t="s">
        <v>281</v>
      </c>
      <c r="F170" s="655" t="s">
        <v>282</v>
      </c>
      <c r="G170" s="655" t="s">
        <v>283</v>
      </c>
      <c r="H170" s="655" t="s">
        <v>284</v>
      </c>
      <c r="I170" s="655" t="s">
        <v>285</v>
      </c>
      <c r="J170" s="655" t="s">
        <v>286</v>
      </c>
    </row>
    <row r="171" spans="2:10" x14ac:dyDescent="0.25">
      <c r="B171" s="15"/>
      <c r="C171" s="15"/>
      <c r="D171" s="87">
        <f t="shared" ref="D171:J171" si="51">SUM(D153:D169)</f>
        <v>-0.1699468073324116</v>
      </c>
      <c r="E171" s="656">
        <f t="shared" si="51"/>
        <v>0.36377085367375805</v>
      </c>
      <c r="F171" s="656">
        <f t="shared" si="51"/>
        <v>-7.3969540234794365E-2</v>
      </c>
      <c r="G171" s="656">
        <f t="shared" si="51"/>
        <v>2.7858782837872589E-2</v>
      </c>
      <c r="H171" s="656">
        <f t="shared" si="51"/>
        <v>-4.3297373407368306E-2</v>
      </c>
      <c r="I171" s="656">
        <f t="shared" si="51"/>
        <v>-0.12720568789391473</v>
      </c>
      <c r="J171" s="656">
        <f t="shared" si="51"/>
        <v>2.2789772356858362E-2</v>
      </c>
    </row>
  </sheetData>
  <mergeCells count="9">
    <mergeCell ref="O4:P4"/>
    <mergeCell ref="O25:P25"/>
    <mergeCell ref="O46:P46"/>
    <mergeCell ref="O67:P67"/>
    <mergeCell ref="D104:F104"/>
    <mergeCell ref="G104:I104"/>
    <mergeCell ref="K104:M104"/>
    <mergeCell ref="N104:P104"/>
    <mergeCell ref="AK104:AK10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P122"/>
  <sheetViews>
    <sheetView zoomScale="80" zoomScaleNormal="80" workbookViewId="0">
      <selection activeCell="B3" sqref="B3"/>
    </sheetView>
  </sheetViews>
  <sheetFormatPr defaultColWidth="9.1796875" defaultRowHeight="15.75" customHeight="1" x14ac:dyDescent="0.35"/>
  <cols>
    <col min="1" max="1" width="63.54296875" style="395" customWidth="1"/>
    <col min="2" max="2" width="32.26953125" style="395" customWidth="1"/>
    <col min="3" max="3" width="3.1796875" style="395" bestFit="1" customWidth="1"/>
    <col min="4" max="4" width="42.81640625" style="395" bestFit="1" customWidth="1"/>
    <col min="5" max="5" width="8" style="395" customWidth="1"/>
    <col min="6" max="6" width="63" style="395" bestFit="1" customWidth="1"/>
    <col min="7" max="7" width="41.81640625" style="395" customWidth="1"/>
    <col min="8" max="8" width="4.1796875" style="395" bestFit="1" customWidth="1"/>
    <col min="9" max="9" width="3" style="395" customWidth="1"/>
    <col min="10" max="10" width="19.1796875" style="395" customWidth="1"/>
    <col min="11" max="11" width="10.26953125" style="395" bestFit="1" customWidth="1"/>
    <col min="12" max="16384" width="9.1796875" style="395"/>
  </cols>
  <sheetData>
    <row r="1" spans="1:13" ht="15.75" customHeight="1" x14ac:dyDescent="0.35">
      <c r="A1" s="411" t="s">
        <v>19</v>
      </c>
      <c r="B1" s="411"/>
      <c r="C1" s="411"/>
      <c r="D1" s="406"/>
      <c r="E1" s="411"/>
      <c r="F1" s="406"/>
      <c r="G1" s="411"/>
      <c r="H1" s="406"/>
      <c r="I1" s="406"/>
      <c r="J1" s="406"/>
      <c r="K1" s="406"/>
      <c r="L1" s="406"/>
      <c r="M1" s="406"/>
    </row>
    <row r="2" spans="1:13" ht="15.75" customHeight="1" x14ac:dyDescent="0.35">
      <c r="A2" s="411"/>
      <c r="B2" s="411"/>
      <c r="C2" s="411"/>
      <c r="D2" s="406"/>
      <c r="E2" s="411"/>
      <c r="F2" s="406"/>
      <c r="G2" s="406"/>
      <c r="H2" s="406"/>
      <c r="I2" s="406"/>
      <c r="J2" s="406"/>
      <c r="K2" s="406"/>
      <c r="L2" s="406"/>
      <c r="M2" s="406"/>
    </row>
    <row r="3" spans="1:13" ht="15.75" customHeight="1" x14ac:dyDescent="0.35">
      <c r="A3" s="414" t="s">
        <v>21</v>
      </c>
      <c r="B3" s="415"/>
      <c r="C3" s="406"/>
      <c r="D3" s="411" t="e">
        <f>VLOOKUP(B3,'2223 Funding Detail'!A4:AN22,2,FALSE)</f>
        <v>#N/A</v>
      </c>
      <c r="E3" s="416"/>
      <c r="F3" s="411"/>
      <c r="G3" s="417"/>
      <c r="H3" s="406"/>
      <c r="I3" s="406"/>
      <c r="J3" s="406"/>
      <c r="K3" s="411"/>
      <c r="L3" s="406"/>
      <c r="M3" s="406"/>
    </row>
    <row r="4" spans="1:13" ht="15.75" customHeight="1" x14ac:dyDescent="0.35">
      <c r="A4" s="414"/>
      <c r="B4" s="406"/>
      <c r="C4" s="406"/>
      <c r="D4" s="411"/>
      <c r="E4" s="416"/>
      <c r="F4" s="411"/>
      <c r="G4" s="417"/>
      <c r="H4" s="406"/>
      <c r="I4" s="406"/>
      <c r="J4" s="406"/>
      <c r="K4" s="411"/>
      <c r="L4" s="406"/>
      <c r="M4" s="406"/>
    </row>
    <row r="5" spans="1:13" ht="15.75" customHeight="1" x14ac:dyDescent="0.35">
      <c r="A5" s="406"/>
      <c r="B5" s="516"/>
      <c r="C5" s="516"/>
      <c r="D5" s="516"/>
      <c r="E5" s="406"/>
      <c r="F5" s="1025" t="s">
        <v>919</v>
      </c>
      <c r="G5" s="1025"/>
      <c r="H5" s="406"/>
      <c r="I5" s="406"/>
      <c r="J5" s="419"/>
      <c r="K5" s="406"/>
      <c r="L5" s="406"/>
      <c r="M5" s="406"/>
    </row>
    <row r="6" spans="1:13" ht="15.75" customHeight="1" x14ac:dyDescent="0.35">
      <c r="A6" s="406"/>
      <c r="B6" s="411"/>
      <c r="C6" s="411"/>
      <c r="D6" s="411"/>
      <c r="E6" s="406"/>
      <c r="F6" s="406"/>
      <c r="G6" s="406"/>
      <c r="H6" s="406"/>
      <c r="I6" s="406"/>
      <c r="J6" s="419"/>
      <c r="K6" s="406"/>
      <c r="L6" s="406"/>
      <c r="M6" s="406"/>
    </row>
    <row r="7" spans="1:13" ht="15.75" customHeight="1" x14ac:dyDescent="0.35">
      <c r="A7" s="467" t="s">
        <v>22</v>
      </c>
      <c r="B7" s="411" t="s">
        <v>221</v>
      </c>
      <c r="C7" s="406"/>
      <c r="D7" s="411" t="s">
        <v>919</v>
      </c>
      <c r="E7" s="406"/>
      <c r="F7" s="467" t="s">
        <v>22</v>
      </c>
      <c r="G7" s="411" t="s">
        <v>919</v>
      </c>
      <c r="H7" s="406"/>
      <c r="I7" s="406"/>
      <c r="J7" s="419"/>
      <c r="K7" s="406"/>
      <c r="L7" s="406"/>
      <c r="M7" s="406"/>
    </row>
    <row r="8" spans="1:13" ht="15.75" customHeight="1" x14ac:dyDescent="0.35">
      <c r="A8" s="406" t="s">
        <v>13</v>
      </c>
      <c r="B8" s="407" t="e">
        <f>VLOOKUP($B$3,'2324 Funding Detail'!$A$4:$BB$22,4,(FALSE))</f>
        <v>#N/A</v>
      </c>
      <c r="C8" s="422"/>
      <c r="D8" s="407" t="e">
        <f>VLOOKUP($B$3,'2425 Funding Detail'!$A$4:$AB$20,4,(FALSE))</f>
        <v>#N/A</v>
      </c>
      <c r="F8" s="406" t="s">
        <v>13</v>
      </c>
      <c r="G8" s="407" t="e">
        <f>VLOOKUP($B$3,'2425 Funding Detail'!$A$4:$AB$20,4,(FALSE))</f>
        <v>#N/A</v>
      </c>
      <c r="H8" s="468"/>
      <c r="I8" s="406"/>
      <c r="J8" s="419"/>
      <c r="K8" s="406"/>
      <c r="L8" s="406"/>
      <c r="M8" s="406"/>
    </row>
    <row r="9" spans="1:13" ht="15.75" customHeight="1" x14ac:dyDescent="0.35">
      <c r="A9" s="406" t="s">
        <v>222</v>
      </c>
      <c r="B9" s="407" t="e">
        <f>VLOOKUP(B3,'2324 Funding Detail'!A4:BB22,5,(FALSE))</f>
        <v>#N/A</v>
      </c>
      <c r="C9" s="422"/>
      <c r="D9" s="407" t="e">
        <f>VLOOKUP($B$3,'2425 Funding Detail'!$A$4:$AB$20,5,(FALSE))</f>
        <v>#N/A</v>
      </c>
      <c r="F9" s="406" t="s">
        <v>222</v>
      </c>
      <c r="G9" s="407" t="e">
        <f>VLOOKUP($B$3,'2425 Funding Detail'!$A$4:$AB$20,5,(FALSE))</f>
        <v>#N/A</v>
      </c>
      <c r="H9" s="468"/>
      <c r="I9" s="406"/>
      <c r="J9" s="419"/>
      <c r="K9" s="406"/>
      <c r="L9" s="406"/>
      <c r="M9" s="406"/>
    </row>
    <row r="10" spans="1:13" ht="15.75" customHeight="1" x14ac:dyDescent="0.35">
      <c r="A10" s="406" t="s">
        <v>223</v>
      </c>
      <c r="B10" s="407" t="e">
        <f>VLOOKUP($B$3,'2324 Funding Detail'!$A$4:$BB$22,8,FALSE)-VLOOKUP($B$3,'2324 Funding Detail'!$A$4:$BB$22,14,FALSE)</f>
        <v>#N/A</v>
      </c>
      <c r="C10" s="422"/>
      <c r="D10" s="407" t="e">
        <f>VLOOKUP($B$3,'2425 Funding Detail'!$A$4:$AB$20,8,(FALSE))-VLOOKUP($B$3,'2425 Funding Detail'!$A$4:$AB$20,13,(FALSE))</f>
        <v>#N/A</v>
      </c>
      <c r="E10" s="406">
        <v>2</v>
      </c>
      <c r="F10" s="406" t="s">
        <v>223</v>
      </c>
      <c r="G10" s="407" t="e">
        <f>VLOOKUP($B$3,'2425 Funding Detail'!$A$4:$AB$20,8,(FALSE))-VLOOKUP($B$3,'2425 Funding Detail'!$A$4:$AB$20,13,(FALSE))</f>
        <v>#N/A</v>
      </c>
      <c r="H10" s="468"/>
      <c r="I10" s="406"/>
      <c r="J10" s="419"/>
      <c r="K10" s="406"/>
      <c r="L10" s="406"/>
      <c r="M10" s="406"/>
    </row>
    <row r="11" spans="1:13" ht="15.75" customHeight="1" x14ac:dyDescent="0.35">
      <c r="A11" s="406" t="s">
        <v>224</v>
      </c>
      <c r="B11" s="407" t="e">
        <f>VLOOKUP($B$3,'2324 Funding Detail'!$A$4:$BB$22,14,FALSE)</f>
        <v>#N/A</v>
      </c>
      <c r="C11" s="422"/>
      <c r="D11" s="407" t="e">
        <f>VLOOKUP(B3,'2425 Funding Detail'!A3:N20,13,(FALSE))</f>
        <v>#N/A</v>
      </c>
      <c r="E11" s="406"/>
      <c r="F11" s="406" t="s">
        <v>224</v>
      </c>
      <c r="G11" s="407" t="e">
        <f>VLOOKUP($B$3,'2425 Funding Detail'!$A$4:$AB$20,13,(FALSE))</f>
        <v>#N/A</v>
      </c>
      <c r="H11" s="468"/>
      <c r="I11" s="406"/>
      <c r="J11" s="419"/>
      <c r="K11" s="406"/>
      <c r="L11" s="406"/>
      <c r="M11" s="406"/>
    </row>
    <row r="12" spans="1:13" ht="15.75" customHeight="1" x14ac:dyDescent="0.35">
      <c r="A12" s="406" t="s">
        <v>23</v>
      </c>
      <c r="B12" s="407" t="e">
        <f>VLOOKUP($B$3,'2324 Funding Detail'!$A$4:$BB$22,10,FALSE)</f>
        <v>#N/A</v>
      </c>
      <c r="C12" s="422"/>
      <c r="D12" s="407" t="e">
        <f>VLOOKUP($B$3,'2425 Funding Detail'!$A$4:$AB$20,9,(FALSE))</f>
        <v>#N/A</v>
      </c>
      <c r="E12" s="406"/>
      <c r="F12" s="406" t="s">
        <v>23</v>
      </c>
      <c r="G12" s="407" t="e">
        <f>VLOOKUP($B$3,'2425 Funding Detail'!$A$4:$AB$20,9,(FALSE))</f>
        <v>#N/A</v>
      </c>
      <c r="H12" s="468"/>
      <c r="I12" s="406"/>
      <c r="J12" s="419"/>
      <c r="K12" s="406"/>
      <c r="L12" s="406"/>
      <c r="M12" s="406"/>
    </row>
    <row r="13" spans="1:13" ht="15.75" customHeight="1" x14ac:dyDescent="0.35">
      <c r="A13" s="406" t="s">
        <v>225</v>
      </c>
      <c r="B13" s="407" t="e">
        <f>VLOOKUP($B$3,'2324 Funding Detail'!$A$4:$BB$22,17,FALSE)</f>
        <v>#N/A</v>
      </c>
      <c r="C13" s="422"/>
      <c r="D13" s="469"/>
      <c r="E13" s="406"/>
      <c r="F13" s="406" t="s">
        <v>225</v>
      </c>
      <c r="G13" s="470" t="e">
        <f>VLOOKUP($B$3,'2425 Funding Detail'!$A$4:$AB$20,16,(FALSE))</f>
        <v>#N/A</v>
      </c>
      <c r="H13" s="468"/>
      <c r="I13" s="406"/>
      <c r="J13" s="419"/>
      <c r="K13" s="406"/>
      <c r="L13" s="406"/>
      <c r="M13" s="406"/>
    </row>
    <row r="14" spans="1:13" ht="15.75" customHeight="1" x14ac:dyDescent="0.35">
      <c r="A14" s="406" t="s">
        <v>24</v>
      </c>
      <c r="B14" s="420" t="e">
        <f>VLOOKUP($B$3,'2324 Funding Detail'!$A$4:$BB$22,18,FALSE)</f>
        <v>#N/A</v>
      </c>
      <c r="C14" s="419">
        <v>1</v>
      </c>
      <c r="D14" s="421" t="e">
        <f>VLOOKUP($B$3,'2425 Funding Detail'!$A$4:$AC$21,11,(FALSE))</f>
        <v>#N/A</v>
      </c>
      <c r="E14" s="406">
        <v>3</v>
      </c>
      <c r="H14" s="468"/>
      <c r="I14" s="406"/>
      <c r="J14" s="419"/>
      <c r="K14" s="406"/>
      <c r="L14" s="406"/>
      <c r="M14" s="406"/>
    </row>
    <row r="15" spans="1:13" ht="15.75" customHeight="1" x14ac:dyDescent="0.35">
      <c r="E15" s="406"/>
      <c r="F15" s="411" t="s">
        <v>25</v>
      </c>
      <c r="G15" s="431" t="e">
        <f>VLOOKUP(B3,'2425 Funding Detail'!A4:R20,17,FALSE)</f>
        <v>#N/A</v>
      </c>
      <c r="H15" s="406">
        <v>10</v>
      </c>
      <c r="I15" s="406"/>
      <c r="J15" s="407"/>
      <c r="K15" s="422"/>
      <c r="L15" s="406"/>
      <c r="M15" s="406"/>
    </row>
    <row r="16" spans="1:13" ht="15.75" customHeight="1" x14ac:dyDescent="0.35">
      <c r="A16" s="406"/>
      <c r="B16" s="425" t="s">
        <v>226</v>
      </c>
      <c r="C16" s="422"/>
      <c r="D16" s="425" t="s">
        <v>920</v>
      </c>
      <c r="E16" s="406"/>
      <c r="I16" s="406"/>
      <c r="J16" s="471"/>
      <c r="K16" s="422"/>
      <c r="L16" s="406"/>
      <c r="M16" s="406"/>
    </row>
    <row r="17" spans="1:13" ht="15.75" customHeight="1" x14ac:dyDescent="0.35">
      <c r="A17" s="406"/>
      <c r="B17" s="425"/>
      <c r="C17" s="422"/>
      <c r="D17" s="425"/>
      <c r="E17" s="406"/>
      <c r="F17" s="1012" t="s">
        <v>1169</v>
      </c>
      <c r="G17" s="741" t="e">
        <f>VLOOKUP(B3,'2425 3.4% Allocations'!B30:S46,18,FALSE)</f>
        <v>#N/A</v>
      </c>
      <c r="H17" s="395">
        <v>11</v>
      </c>
      <c r="I17" s="406"/>
      <c r="J17" s="471"/>
      <c r="K17" s="406"/>
      <c r="L17" s="406"/>
      <c r="M17" s="406"/>
    </row>
    <row r="18" spans="1:13" ht="15.75" customHeight="1" x14ac:dyDescent="0.35">
      <c r="A18" s="406" t="s">
        <v>227</v>
      </c>
      <c r="B18" s="473" t="e">
        <f>VLOOKUP($B$3,'2324 Funding Detail'!$A$4:$O$22,13,(FALSE))</f>
        <v>#N/A</v>
      </c>
      <c r="C18" s="419"/>
      <c r="D18" s="419" t="e">
        <f>VLOOKUP($B$3,'2425 Funding Detail'!$A$4:$M$20,12,(FALSE))</f>
        <v>#N/A</v>
      </c>
      <c r="E18" s="406">
        <v>4</v>
      </c>
      <c r="I18" s="406"/>
      <c r="K18" s="406"/>
      <c r="L18" s="406"/>
      <c r="M18" s="406"/>
    </row>
    <row r="19" spans="1:13" ht="15.75" customHeight="1" x14ac:dyDescent="0.35">
      <c r="A19" s="406"/>
      <c r="B19" s="422"/>
      <c r="C19" s="422"/>
      <c r="D19" s="422"/>
      <c r="E19" s="406"/>
      <c r="F19" s="516" t="s">
        <v>1170</v>
      </c>
      <c r="G19" s="431" t="e">
        <f>G15+G17</f>
        <v>#N/A</v>
      </c>
      <c r="H19" s="395">
        <v>12</v>
      </c>
      <c r="I19" s="406"/>
      <c r="J19" s="419"/>
      <c r="K19" s="474"/>
      <c r="L19" s="406"/>
      <c r="M19" s="406"/>
    </row>
    <row r="20" spans="1:13" ht="15.75" customHeight="1" x14ac:dyDescent="0.35">
      <c r="A20" s="475" t="s">
        <v>921</v>
      </c>
      <c r="B20" s="968" t="e">
        <f>VLOOKUP($B$3,'2425 Funding Detail'!$A$4:$AB$20,16,(FALSE))</f>
        <v>#N/A</v>
      </c>
      <c r="C20" s="419"/>
      <c r="D20" s="422"/>
      <c r="E20" s="406">
        <v>5</v>
      </c>
      <c r="I20" s="406"/>
      <c r="J20" s="419"/>
      <c r="K20" s="474"/>
      <c r="L20" s="406"/>
      <c r="M20" s="406"/>
    </row>
    <row r="21" spans="1:13" ht="15.75" customHeight="1" x14ac:dyDescent="0.35">
      <c r="A21" s="406"/>
      <c r="E21" s="406"/>
      <c r="F21" s="429" t="s">
        <v>26</v>
      </c>
      <c r="G21" s="422"/>
      <c r="H21" s="406"/>
      <c r="I21" s="406"/>
      <c r="J21" s="419"/>
      <c r="K21" s="422"/>
      <c r="L21" s="406"/>
      <c r="M21" s="406"/>
    </row>
    <row r="22" spans="1:13" ht="15.75" customHeight="1" thickBot="1" x14ac:dyDescent="0.4">
      <c r="F22" s="430" t="s">
        <v>27</v>
      </c>
      <c r="G22" s="422"/>
      <c r="H22" s="472"/>
      <c r="I22" s="406"/>
      <c r="J22" s="419"/>
      <c r="K22" s="406"/>
      <c r="L22" s="406"/>
      <c r="M22" s="406"/>
    </row>
    <row r="23" spans="1:13" ht="15.75" customHeight="1" x14ac:dyDescent="0.35">
      <c r="A23" s="752" t="s">
        <v>196</v>
      </c>
      <c r="B23" s="742"/>
      <c r="C23" s="742"/>
      <c r="D23" s="743"/>
      <c r="E23" s="395">
        <v>6</v>
      </c>
      <c r="F23" s="407" t="s">
        <v>28</v>
      </c>
      <c r="G23" s="422" t="e">
        <f>VLOOKUP($B$3,'2425 Funding Detail'!$A$4:$AB$20,6,(FALSE))</f>
        <v>#N/A</v>
      </c>
      <c r="H23" s="412">
        <v>13</v>
      </c>
      <c r="J23" s="477"/>
      <c r="K23" s="422"/>
      <c r="L23" s="406"/>
      <c r="M23" s="406"/>
    </row>
    <row r="24" spans="1:13" ht="15.75" customHeight="1" x14ac:dyDescent="0.35">
      <c r="A24" s="750"/>
      <c r="D24" s="751"/>
      <c r="F24" s="407" t="s">
        <v>29</v>
      </c>
      <c r="G24" s="422" t="e">
        <f>VLOOKUP($B$3,'2425 Funding Detail'!$A$4:$AB$20,7,(FALSE))</f>
        <v>#N/A</v>
      </c>
      <c r="H24" s="412">
        <v>14</v>
      </c>
      <c r="I24" s="406"/>
      <c r="J24" s="477"/>
      <c r="K24" s="406"/>
      <c r="L24" s="406"/>
      <c r="M24" s="406"/>
    </row>
    <row r="25" spans="1:13" ht="15.75" customHeight="1" x14ac:dyDescent="0.35">
      <c r="A25" s="746" t="s">
        <v>1182</v>
      </c>
      <c r="B25" s="747"/>
      <c r="C25" s="747"/>
      <c r="D25" s="748" t="e">
        <f>VLOOKUP(B3,'2425 0% MFG Calculation'!A5:AH21,34,FALSE)</f>
        <v>#N/A</v>
      </c>
      <c r="G25" s="407"/>
      <c r="H25" s="406"/>
      <c r="I25" s="406"/>
      <c r="J25" s="477"/>
      <c r="K25" s="406"/>
      <c r="L25" s="406"/>
      <c r="M25" s="406"/>
    </row>
    <row r="26" spans="1:13" ht="15.75" customHeight="1" thickBot="1" x14ac:dyDescent="0.4">
      <c r="A26" s="749"/>
      <c r="B26" s="744"/>
      <c r="C26" s="744"/>
      <c r="D26" s="745"/>
      <c r="F26" s="476" t="s">
        <v>30</v>
      </c>
      <c r="G26" s="422"/>
      <c r="H26" s="412"/>
      <c r="I26" s="406"/>
      <c r="J26" s="477"/>
      <c r="K26" s="406"/>
      <c r="L26" s="406"/>
      <c r="M26" s="406"/>
    </row>
    <row r="27" spans="1:13" ht="15.75" customHeight="1" x14ac:dyDescent="0.35">
      <c r="A27" s="406"/>
      <c r="B27" s="407"/>
      <c r="C27" s="407"/>
      <c r="D27" s="407"/>
      <c r="F27" s="407" t="s">
        <v>5</v>
      </c>
      <c r="G27" s="422" t="e">
        <f>VLOOKUP($B$3,'2425 Other Funding'!$B$7:$V$23,3,(FALSE))</f>
        <v>#N/A</v>
      </c>
      <c r="H27" s="412">
        <v>15</v>
      </c>
      <c r="I27" s="406"/>
      <c r="J27" s="477"/>
      <c r="K27" s="406"/>
      <c r="L27" s="406"/>
      <c r="M27" s="406"/>
    </row>
    <row r="28" spans="1:13" ht="15.75" customHeight="1" x14ac:dyDescent="0.35">
      <c r="A28" s="406"/>
      <c r="B28" s="408"/>
      <c r="C28" s="407"/>
      <c r="D28" s="661"/>
      <c r="F28" s="407" t="s">
        <v>4</v>
      </c>
      <c r="G28" s="422" t="e">
        <f>VLOOKUP($B$3,'2425 Other Funding'!$B$7:$V$23,4,(FALSE))</f>
        <v>#N/A</v>
      </c>
      <c r="H28" s="412">
        <v>16</v>
      </c>
      <c r="I28" s="406"/>
      <c r="J28" s="477"/>
      <c r="K28" s="406"/>
      <c r="L28" s="406"/>
      <c r="M28" s="406"/>
    </row>
    <row r="29" spans="1:13" ht="15.75" customHeight="1" thickBot="1" x14ac:dyDescent="0.4">
      <c r="A29" s="406"/>
      <c r="E29" s="406"/>
      <c r="F29" s="407"/>
      <c r="G29" s="478"/>
      <c r="H29" s="412"/>
      <c r="I29" s="406"/>
      <c r="J29" s="407"/>
      <c r="K29" s="422"/>
      <c r="L29" s="406"/>
      <c r="M29" s="406"/>
    </row>
    <row r="30" spans="1:13" ht="15.75" customHeight="1" thickBot="1" x14ac:dyDescent="0.4">
      <c r="A30" s="406"/>
      <c r="B30" s="480" t="s">
        <v>228</v>
      </c>
      <c r="C30" s="481"/>
      <c r="D30" s="482" t="e">
        <f>VLOOKUP(B3,'2425 Funding Detail'!A4:AB20,3,(FALSE))</f>
        <v>#N/A</v>
      </c>
      <c r="E30" s="406">
        <v>7</v>
      </c>
      <c r="F30" s="407" t="s">
        <v>31</v>
      </c>
      <c r="G30" s="479" t="e">
        <f>SUM(G23:G29)</f>
        <v>#N/A</v>
      </c>
      <c r="H30" s="406">
        <v>17</v>
      </c>
      <c r="I30" s="406"/>
      <c r="J30" s="407"/>
      <c r="K30" s="406"/>
      <c r="L30" s="406"/>
      <c r="M30" s="406"/>
    </row>
    <row r="31" spans="1:13" ht="15.75" customHeight="1" thickBot="1" x14ac:dyDescent="0.4">
      <c r="A31" s="475"/>
      <c r="B31" s="411"/>
      <c r="D31" s="411"/>
      <c r="E31" s="406"/>
      <c r="F31" s="407"/>
      <c r="G31" s="422"/>
      <c r="H31" s="406"/>
      <c r="I31" s="406"/>
      <c r="J31" s="407"/>
      <c r="K31" s="406"/>
      <c r="L31" s="406"/>
      <c r="M31" s="406"/>
    </row>
    <row r="32" spans="1:13" ht="15.75" customHeight="1" x14ac:dyDescent="0.35">
      <c r="A32" s="406"/>
      <c r="B32" s="433" t="s">
        <v>32</v>
      </c>
      <c r="C32" s="483"/>
      <c r="D32" s="484" t="s">
        <v>33</v>
      </c>
      <c r="E32" s="406">
        <v>8</v>
      </c>
      <c r="F32" s="408" t="s">
        <v>922</v>
      </c>
      <c r="G32" s="730" t="e">
        <f>G19+G30</f>
        <v>#N/A</v>
      </c>
      <c r="H32" s="406">
        <v>18</v>
      </c>
      <c r="I32" s="406"/>
      <c r="J32" s="407"/>
      <c r="K32" s="406"/>
      <c r="L32" s="406"/>
      <c r="M32" s="406"/>
    </row>
    <row r="33" spans="1:14" ht="15.75" customHeight="1" x14ac:dyDescent="0.35">
      <c r="A33" s="475"/>
      <c r="B33" s="432" t="s">
        <v>229</v>
      </c>
      <c r="C33" s="485"/>
      <c r="D33" s="486" t="e">
        <f>VLOOKUP($B$3,'2425 Band Calculations'!$A$6:$J$22,4,(FALSE))</f>
        <v>#N/A</v>
      </c>
      <c r="E33" s="406"/>
      <c r="I33" s="406"/>
      <c r="K33" s="406"/>
      <c r="L33" s="406"/>
      <c r="M33" s="406"/>
    </row>
    <row r="34" spans="1:14" ht="15.75" customHeight="1" x14ac:dyDescent="0.35">
      <c r="A34" s="406"/>
      <c r="B34" s="432" t="s">
        <v>230</v>
      </c>
      <c r="C34" s="485"/>
      <c r="D34" s="486" t="e">
        <f>VLOOKUP($B$3,'2425 Band Calculations'!$A$6:$J$22,5,(FALSE))</f>
        <v>#N/A</v>
      </c>
      <c r="E34" s="406"/>
      <c r="I34" s="406"/>
      <c r="J34" s="430"/>
      <c r="K34" s="406"/>
      <c r="L34" s="406"/>
      <c r="M34" s="475"/>
      <c r="N34" s="488"/>
    </row>
    <row r="35" spans="1:14" ht="15.75" customHeight="1" x14ac:dyDescent="0.35">
      <c r="B35" s="432" t="s">
        <v>231</v>
      </c>
      <c r="C35" s="485"/>
      <c r="D35" s="486" t="e">
        <f>VLOOKUP($B$3,'2425 Band Calculations'!$A$6:$J$22,6,(FALSE))</f>
        <v>#N/A</v>
      </c>
      <c r="E35" s="406"/>
      <c r="I35" s="406"/>
      <c r="J35" s="430"/>
      <c r="K35" s="406"/>
      <c r="L35" s="406"/>
      <c r="M35" s="475"/>
      <c r="N35" s="490"/>
    </row>
    <row r="36" spans="1:14" ht="15.75" customHeight="1" thickBot="1" x14ac:dyDescent="0.4">
      <c r="A36" s="475"/>
      <c r="B36" s="432" t="s">
        <v>232</v>
      </c>
      <c r="C36" s="485"/>
      <c r="D36" s="486" t="e">
        <f>VLOOKUP($B$3,'2425 Band Calculations'!$A$6:$J$22,7,(FALSE))</f>
        <v>#N/A</v>
      </c>
      <c r="E36" s="406"/>
      <c r="G36" s="487"/>
      <c r="I36" s="406"/>
      <c r="J36" s="419"/>
      <c r="K36" s="406"/>
      <c r="L36" s="406"/>
      <c r="M36" s="475"/>
      <c r="N36" s="488"/>
    </row>
    <row r="37" spans="1:14" ht="15.75" customHeight="1" x14ac:dyDescent="0.35">
      <c r="B37" s="432" t="s">
        <v>233</v>
      </c>
      <c r="C37" s="485"/>
      <c r="D37" s="486" t="e">
        <f>VLOOKUP($B$3,'2425 Band Calculations'!$A$6:$J$22,8,(FALSE))</f>
        <v>#N/A</v>
      </c>
      <c r="E37" s="406"/>
      <c r="F37" s="433" t="s">
        <v>1101</v>
      </c>
      <c r="G37" s="489" t="s">
        <v>34</v>
      </c>
      <c r="H37" s="474"/>
      <c r="I37" s="406"/>
      <c r="J37" s="419"/>
      <c r="K37" s="406"/>
      <c r="L37" s="406"/>
      <c r="M37" s="406"/>
    </row>
    <row r="38" spans="1:14" ht="15.75" customHeight="1" x14ac:dyDescent="0.35">
      <c r="A38" s="406"/>
      <c r="B38" s="435" t="s">
        <v>234</v>
      </c>
      <c r="C38" s="492"/>
      <c r="D38" s="493" t="e">
        <f>VLOOKUP($B$3,'2425 Band Calculations'!$A$6:$J$22,9,(FALSE))</f>
        <v>#N/A</v>
      </c>
      <c r="E38" s="406"/>
      <c r="F38" s="434" t="s">
        <v>923</v>
      </c>
      <c r="G38" s="491" t="e">
        <f>VLOOKUP(B3,'2425 Band Calculations'!A6:K22,11,(FALSE))</f>
        <v>#N/A</v>
      </c>
      <c r="H38" s="406">
        <v>19</v>
      </c>
      <c r="I38" s="406"/>
      <c r="J38" s="419"/>
      <c r="K38" s="406"/>
      <c r="L38" s="406"/>
      <c r="M38" s="406"/>
    </row>
    <row r="39" spans="1:14" ht="15.75" customHeight="1" thickBot="1" x14ac:dyDescent="0.4">
      <c r="A39" s="406"/>
      <c r="B39" s="436" t="s">
        <v>235</v>
      </c>
      <c r="C39" s="494"/>
      <c r="D39" s="495" t="e">
        <f>VLOOKUP($B$3,'2425 Band Calculations'!$A$6:$J$22,10,(FALSE))</f>
        <v>#N/A</v>
      </c>
      <c r="E39" s="406"/>
      <c r="F39" s="434" t="s">
        <v>924</v>
      </c>
      <c r="G39" s="491" t="e">
        <f>VLOOKUP(B3,'2425 Band Calculations'!A48:K64,11,(FALSE))</f>
        <v>#N/A</v>
      </c>
      <c r="H39" s="406"/>
      <c r="I39" s="406"/>
      <c r="J39" s="419"/>
      <c r="K39" s="406"/>
      <c r="L39" s="406"/>
      <c r="M39" s="406"/>
    </row>
    <row r="40" spans="1:14" ht="15.75" customHeight="1" thickTop="1" thickBot="1" x14ac:dyDescent="0.4">
      <c r="A40" s="406"/>
      <c r="B40" s="422"/>
      <c r="C40" s="422"/>
      <c r="D40" s="496"/>
      <c r="E40" s="406"/>
      <c r="F40" s="434"/>
      <c r="G40" s="491"/>
      <c r="H40" s="406"/>
      <c r="I40" s="406"/>
      <c r="J40" s="419"/>
      <c r="K40" s="406"/>
      <c r="L40" s="406"/>
      <c r="M40" s="406"/>
    </row>
    <row r="41" spans="1:14" ht="15.75" customHeight="1" x14ac:dyDescent="0.35">
      <c r="A41" s="406"/>
      <c r="B41" s="437" t="s">
        <v>35</v>
      </c>
      <c r="C41" s="483"/>
      <c r="D41" s="497" t="s">
        <v>36</v>
      </c>
      <c r="E41" s="406">
        <v>9</v>
      </c>
      <c r="F41" s="434" t="s">
        <v>925</v>
      </c>
      <c r="G41" s="491" t="e">
        <f>VLOOKUP(B3,'2425 Band Calculations'!A27:K43,11,(FALSE))</f>
        <v>#N/A</v>
      </c>
      <c r="H41" s="406">
        <v>20</v>
      </c>
      <c r="I41" s="406"/>
      <c r="J41" s="419"/>
      <c r="K41" s="406"/>
      <c r="L41" s="406"/>
      <c r="M41" s="406"/>
    </row>
    <row r="42" spans="1:14" ht="15.75" customHeight="1" thickBot="1" x14ac:dyDescent="0.4">
      <c r="A42" s="406"/>
      <c r="B42" s="439" t="s">
        <v>37</v>
      </c>
      <c r="C42" s="499"/>
      <c r="D42" s="500" t="e">
        <f>VLOOKUP(B3,'2425 Funding Detail'!A4:P20,15,(FALSE))</f>
        <v>#N/A</v>
      </c>
      <c r="E42" s="406"/>
      <c r="F42" s="438" t="s">
        <v>926</v>
      </c>
      <c r="G42" s="498" t="e">
        <f>VLOOKUP(B3,'2425 Band Calculations'!A69:K85,11,(FALSE))</f>
        <v>#N/A</v>
      </c>
      <c r="H42" s="406"/>
    </row>
    <row r="43" spans="1:14" ht="15.75" customHeight="1" x14ac:dyDescent="0.35">
      <c r="A43" s="406"/>
      <c r="B43" s="422"/>
      <c r="C43" s="422"/>
      <c r="D43" s="425"/>
      <c r="E43" s="406"/>
    </row>
    <row r="44" spans="1:14" ht="15.75" customHeight="1" thickBot="1" x14ac:dyDescent="0.4">
      <c r="A44" s="406"/>
      <c r="B44" s="422"/>
      <c r="C44" s="422"/>
      <c r="D44" s="425"/>
      <c r="E44" s="406"/>
      <c r="F44" s="406"/>
      <c r="G44" s="422"/>
    </row>
    <row r="45" spans="1:14" ht="15.75" customHeight="1" x14ac:dyDescent="0.35">
      <c r="A45" s="501" t="s">
        <v>927</v>
      </c>
      <c r="B45" s="1026" t="s">
        <v>8</v>
      </c>
      <c r="C45" s="502"/>
      <c r="D45" s="1026" t="s">
        <v>9</v>
      </c>
      <c r="E45" s="440" t="s">
        <v>39</v>
      </c>
      <c r="F45" s="441"/>
      <c r="G45" s="442"/>
    </row>
    <row r="46" spans="1:14" ht="15.75" customHeight="1" x14ac:dyDescent="0.35">
      <c r="A46" s="503" t="s">
        <v>38</v>
      </c>
      <c r="B46" s="1027"/>
      <c r="C46" s="504"/>
      <c r="D46" s="1027"/>
      <c r="E46" s="443"/>
      <c r="F46" s="444"/>
      <c r="G46" s="445"/>
      <c r="H46" s="407"/>
    </row>
    <row r="47" spans="1:14" ht="15.75" customHeight="1" x14ac:dyDescent="0.35">
      <c r="A47" s="432" t="s">
        <v>229</v>
      </c>
      <c r="B47" s="455" t="s">
        <v>12</v>
      </c>
      <c r="C47" s="455"/>
      <c r="D47" s="505">
        <f>'2425 Band Calculations'!G88</f>
        <v>6733</v>
      </c>
      <c r="E47" s="446" t="s">
        <v>42</v>
      </c>
      <c r="F47" s="447"/>
      <c r="G47" s="448"/>
      <c r="H47" s="473">
        <v>21</v>
      </c>
    </row>
    <row r="48" spans="1:14" ht="15.75" customHeight="1" x14ac:dyDescent="0.35">
      <c r="A48" s="432" t="s">
        <v>230</v>
      </c>
      <c r="B48" s="455" t="s">
        <v>11</v>
      </c>
      <c r="C48" s="455"/>
      <c r="D48" s="505">
        <f>'2425 Band Calculations'!G90</f>
        <v>7996</v>
      </c>
      <c r="E48" s="446" t="s">
        <v>41</v>
      </c>
      <c r="F48" s="447"/>
      <c r="G48" s="448"/>
      <c r="H48" s="407"/>
    </row>
    <row r="49" spans="1:16" ht="15.75" customHeight="1" x14ac:dyDescent="0.35">
      <c r="A49" s="432" t="s">
        <v>231</v>
      </c>
      <c r="B49" s="506" t="s">
        <v>237</v>
      </c>
      <c r="C49" s="455"/>
      <c r="D49" s="505">
        <f>'2425 Band Calculations'!G92</f>
        <v>16035</v>
      </c>
      <c r="E49" s="446" t="s">
        <v>238</v>
      </c>
      <c r="F49" s="447"/>
      <c r="G49" s="448"/>
      <c r="H49" s="407"/>
    </row>
    <row r="50" spans="1:16" ht="15.75" customHeight="1" x14ac:dyDescent="0.35">
      <c r="A50" s="432" t="s">
        <v>232</v>
      </c>
      <c r="B50" s="446" t="s">
        <v>239</v>
      </c>
      <c r="C50" s="455"/>
      <c r="D50" s="505">
        <f>'2425 Band Calculations'!G94</f>
        <v>16392</v>
      </c>
      <c r="E50" s="446" t="s">
        <v>240</v>
      </c>
      <c r="F50" s="447"/>
      <c r="G50" s="448"/>
    </row>
    <row r="51" spans="1:16" ht="15.75" customHeight="1" x14ac:dyDescent="0.35">
      <c r="A51" s="432" t="s">
        <v>233</v>
      </c>
      <c r="B51" s="455" t="s">
        <v>239</v>
      </c>
      <c r="C51" s="455"/>
      <c r="D51" s="505">
        <f>'2425 Band Calculations'!G96</f>
        <v>16392</v>
      </c>
      <c r="E51" s="446" t="s">
        <v>240</v>
      </c>
      <c r="F51" s="447"/>
      <c r="G51" s="448"/>
    </row>
    <row r="52" spans="1:16" ht="15.75" customHeight="1" x14ac:dyDescent="0.35">
      <c r="A52" s="435" t="s">
        <v>234</v>
      </c>
      <c r="B52" s="446" t="s">
        <v>239</v>
      </c>
      <c r="C52" s="455"/>
      <c r="D52" s="505">
        <f>'2425 Band Calculations'!G98</f>
        <v>17381</v>
      </c>
      <c r="E52" s="449" t="s">
        <v>241</v>
      </c>
      <c r="F52" s="450"/>
      <c r="G52" s="451"/>
    </row>
    <row r="53" spans="1:16" ht="15.75" customHeight="1" thickBot="1" x14ac:dyDescent="0.4">
      <c r="A53" s="439" t="s">
        <v>235</v>
      </c>
      <c r="B53" s="461" t="s">
        <v>215</v>
      </c>
      <c r="C53" s="461"/>
      <c r="D53" s="511">
        <f>'2425 Band Calculations'!G100</f>
        <v>26008</v>
      </c>
      <c r="E53" s="538" t="s">
        <v>216</v>
      </c>
      <c r="F53" s="539"/>
      <c r="G53" s="540"/>
    </row>
    <row r="54" spans="1:16" ht="15.75" customHeight="1" thickBot="1" x14ac:dyDescent="0.4">
      <c r="P54" s="407"/>
    </row>
    <row r="55" spans="1:16" ht="15.75" customHeight="1" x14ac:dyDescent="0.35">
      <c r="A55" s="452" t="s">
        <v>242</v>
      </c>
      <c r="B55" s="507" t="s">
        <v>13</v>
      </c>
      <c r="C55" s="453"/>
      <c r="D55" s="508" t="s">
        <v>14</v>
      </c>
      <c r="E55" s="453"/>
      <c r="F55" s="489" t="s">
        <v>243</v>
      </c>
      <c r="G55" s="395">
        <v>22</v>
      </c>
      <c r="P55" s="407"/>
    </row>
    <row r="56" spans="1:16" ht="15.75" customHeight="1" x14ac:dyDescent="0.35">
      <c r="A56" s="454" t="s">
        <v>244</v>
      </c>
      <c r="B56" s="505">
        <f>'2425 School Size Ranges'!H4</f>
        <v>346136</v>
      </c>
      <c r="C56" s="455"/>
      <c r="D56" s="505">
        <f>'2425 School Size Ranges'!I4</f>
        <v>114399</v>
      </c>
      <c r="E56" s="576"/>
      <c r="F56" s="579">
        <f>'2425 School Size Ranges'!E4</f>
        <v>700058.04</v>
      </c>
      <c r="G56" s="456"/>
      <c r="P56" s="407"/>
    </row>
    <row r="57" spans="1:16" ht="15.75" customHeight="1" x14ac:dyDescent="0.35">
      <c r="A57" s="454" t="s">
        <v>245</v>
      </c>
      <c r="B57" s="505">
        <f>'2425 School Size Ranges'!H5</f>
        <v>385456.5</v>
      </c>
      <c r="C57" s="455"/>
      <c r="D57" s="505">
        <f>'2425 School Size Ranges'!I5</f>
        <v>120035.5</v>
      </c>
      <c r="E57" s="576"/>
      <c r="F57" s="579">
        <f>'2425 School Size Ranges'!E5</f>
        <v>816734.38000000012</v>
      </c>
      <c r="G57" s="509"/>
      <c r="P57" s="407"/>
    </row>
    <row r="58" spans="1:16" ht="15.75" customHeight="1" x14ac:dyDescent="0.35">
      <c r="A58" s="454" t="s">
        <v>246</v>
      </c>
      <c r="B58" s="505">
        <f>'2425 School Size Ranges'!H6</f>
        <v>424777</v>
      </c>
      <c r="C58" s="455"/>
      <c r="D58" s="505">
        <f>'2425 School Size Ranges'!I6</f>
        <v>125672</v>
      </c>
      <c r="E58" s="576"/>
      <c r="F58" s="579">
        <f>'2425 School Size Ranges'!E6</f>
        <v>1108425.2300000002</v>
      </c>
      <c r="G58" s="509"/>
      <c r="P58" s="407"/>
    </row>
    <row r="59" spans="1:16" ht="15.75" customHeight="1" x14ac:dyDescent="0.35">
      <c r="A59" s="454" t="s">
        <v>247</v>
      </c>
      <c r="B59" s="505">
        <f>'2425 School Size Ranges'!H7</f>
        <v>470457</v>
      </c>
      <c r="C59" s="455"/>
      <c r="D59" s="505">
        <f>'2425 School Size Ranges'!I7</f>
        <v>131813</v>
      </c>
      <c r="E59" s="576"/>
      <c r="F59" s="579">
        <f>'2425 School Size Ranges'!E7</f>
        <v>1283439.74</v>
      </c>
      <c r="G59" s="509"/>
      <c r="P59" s="407"/>
    </row>
    <row r="60" spans="1:16" ht="15.75" customHeight="1" x14ac:dyDescent="0.35">
      <c r="A60" s="454" t="s">
        <v>248</v>
      </c>
      <c r="B60" s="505">
        <f>'2425 School Size Ranges'!H8</f>
        <v>516137</v>
      </c>
      <c r="C60" s="455"/>
      <c r="D60" s="505">
        <f>'2425 School Size Ranges'!I8</f>
        <v>137954</v>
      </c>
      <c r="E60" s="576"/>
      <c r="F60" s="579">
        <f>'2425 School Size Ranges'!E8</f>
        <v>1633468.7600000002</v>
      </c>
      <c r="G60" s="509"/>
      <c r="P60" s="407"/>
    </row>
    <row r="61" spans="1:16" ht="15.75" customHeight="1" x14ac:dyDescent="0.35">
      <c r="A61" s="454" t="s">
        <v>249</v>
      </c>
      <c r="B61" s="505">
        <f>'2425 School Size Ranges'!H9</f>
        <v>565224.5</v>
      </c>
      <c r="C61" s="455"/>
      <c r="D61" s="505">
        <f>'2425 School Size Ranges'!I9</f>
        <v>149645.5</v>
      </c>
      <c r="E61" s="576"/>
      <c r="F61" s="579">
        <f>'2425 School Size Ranges'!E9</f>
        <v>1866821.4400000004</v>
      </c>
      <c r="G61" s="509"/>
      <c r="P61" s="407"/>
    </row>
    <row r="62" spans="1:16" ht="15.75" customHeight="1" x14ac:dyDescent="0.35">
      <c r="A62" s="454" t="s">
        <v>250</v>
      </c>
      <c r="B62" s="505">
        <f>'2425 School Size Ranges'!H10</f>
        <v>614312</v>
      </c>
      <c r="C62" s="455"/>
      <c r="D62" s="505">
        <f>'2425 School Size Ranges'!I10</f>
        <v>161337</v>
      </c>
      <c r="E62" s="576"/>
      <c r="F62" s="579">
        <f>'2425 School Size Ranges'!E10</f>
        <v>2275188.63</v>
      </c>
      <c r="G62" s="509"/>
      <c r="P62" s="407"/>
    </row>
    <row r="63" spans="1:16" ht="15.75" customHeight="1" x14ac:dyDescent="0.35">
      <c r="A63" s="454" t="s">
        <v>251</v>
      </c>
      <c r="B63" s="505">
        <f>'2425 School Size Ranges'!H11</f>
        <v>666385</v>
      </c>
      <c r="C63" s="455"/>
      <c r="D63" s="505">
        <f>'2425 School Size Ranges'!I11</f>
        <v>167447</v>
      </c>
      <c r="E63" s="576"/>
      <c r="F63" s="579">
        <f>'2425 School Size Ranges'!E11</f>
        <v>2566879.48</v>
      </c>
      <c r="G63" s="509"/>
    </row>
    <row r="64" spans="1:16" ht="15.75" customHeight="1" x14ac:dyDescent="0.35">
      <c r="A64" s="454" t="s">
        <v>252</v>
      </c>
      <c r="B64" s="505">
        <f>'2425 School Size Ranges'!H12</f>
        <v>718458</v>
      </c>
      <c r="C64" s="455"/>
      <c r="D64" s="505">
        <f>'2425 School Size Ranges'!I12</f>
        <v>173557</v>
      </c>
      <c r="E64" s="576"/>
      <c r="F64" s="579">
        <f>'2425 School Size Ranges'!E12</f>
        <v>3033584.8400000003</v>
      </c>
      <c r="G64" s="509"/>
    </row>
    <row r="65" spans="1:10" ht="15.75" customHeight="1" x14ac:dyDescent="0.35">
      <c r="A65" s="454" t="s">
        <v>424</v>
      </c>
      <c r="B65" s="505">
        <f>'2425 School Size Ranges'!H13</f>
        <v>765070.5</v>
      </c>
      <c r="C65" s="455"/>
      <c r="D65" s="505">
        <f>'2425 School Size Ranges'!I13</f>
        <v>179765.5</v>
      </c>
      <c r="E65" s="576"/>
      <c r="F65" s="579">
        <f>'2425 School Size Ranges'!E13</f>
        <v>3383613.8600000008</v>
      </c>
      <c r="G65" s="509"/>
    </row>
    <row r="66" spans="1:10" ht="15.75" customHeight="1" x14ac:dyDescent="0.35">
      <c r="A66" s="454" t="s">
        <v>425</v>
      </c>
      <c r="B66" s="505">
        <f>'2425 School Size Ranges'!H14</f>
        <v>811683</v>
      </c>
      <c r="C66" s="455"/>
      <c r="D66" s="505">
        <f>'2425 School Size Ranges'!I14</f>
        <v>185974</v>
      </c>
      <c r="E66" s="576"/>
      <c r="F66" s="579">
        <f>'2425 School Size Ranges'!E14</f>
        <v>3908657.3900000006</v>
      </c>
      <c r="G66" s="509"/>
    </row>
    <row r="67" spans="1:10" ht="15.75" customHeight="1" x14ac:dyDescent="0.35">
      <c r="A67" s="457"/>
      <c r="B67" s="510"/>
      <c r="C67" s="458"/>
      <c r="D67" s="510"/>
      <c r="E67" s="458"/>
      <c r="F67" s="459"/>
      <c r="G67" s="509"/>
    </row>
    <row r="68" spans="1:10" ht="15.75" customHeight="1" x14ac:dyDescent="0.35">
      <c r="A68" s="454" t="s">
        <v>265</v>
      </c>
      <c r="B68" s="580">
        <f>'2425 School Size Ranges'!J4</f>
        <v>295356</v>
      </c>
      <c r="C68" s="455"/>
      <c r="D68" s="505">
        <f>'2425 School Size Ranges'!K4</f>
        <v>102930</v>
      </c>
      <c r="E68" s="455"/>
      <c r="F68" s="579">
        <f>'2425 School Size Ranges'!E4</f>
        <v>700058.04</v>
      </c>
      <c r="G68" s="395">
        <v>23</v>
      </c>
    </row>
    <row r="69" spans="1:10" ht="15.75" customHeight="1" x14ac:dyDescent="0.35">
      <c r="A69" s="454" t="s">
        <v>521</v>
      </c>
      <c r="B69" s="580">
        <f>'2425 School Size Ranges'!J5</f>
        <v>330222.5</v>
      </c>
      <c r="C69" s="455"/>
      <c r="D69" s="505">
        <f>'2425 School Size Ranges'!K5</f>
        <v>102930</v>
      </c>
      <c r="E69" s="455"/>
      <c r="F69" s="579">
        <f>'2425 School Size Ranges'!E5</f>
        <v>816734.38000000012</v>
      </c>
    </row>
    <row r="70" spans="1:10" ht="15.75" customHeight="1" x14ac:dyDescent="0.35">
      <c r="A70" s="454" t="s">
        <v>267</v>
      </c>
      <c r="B70" s="580">
        <f>'2425 School Size Ranges'!J6</f>
        <v>365089</v>
      </c>
      <c r="C70" s="455"/>
      <c r="D70" s="505">
        <f>'2425 School Size Ranges'!K6</f>
        <v>102930</v>
      </c>
      <c r="E70" s="455"/>
      <c r="F70" s="579">
        <f>'2425 School Size Ranges'!E6</f>
        <v>1108425.2300000002</v>
      </c>
    </row>
    <row r="71" spans="1:10" ht="15.75" customHeight="1" x14ac:dyDescent="0.35">
      <c r="A71" s="454" t="s">
        <v>264</v>
      </c>
      <c r="B71" s="580">
        <f>'2425 School Size Ranges'!J7</f>
        <v>399637</v>
      </c>
      <c r="C71" s="455"/>
      <c r="D71" s="505">
        <f>'2425 School Size Ranges'!K7</f>
        <v>102930</v>
      </c>
      <c r="E71" s="455"/>
      <c r="F71" s="579">
        <f>'2425 School Size Ranges'!E7</f>
        <v>1283439.74</v>
      </c>
    </row>
    <row r="72" spans="1:10" ht="15.75" customHeight="1" thickBot="1" x14ac:dyDescent="0.4">
      <c r="A72" s="460" t="s">
        <v>523</v>
      </c>
      <c r="B72" s="581">
        <f>'2425 School Size Ranges'!J8</f>
        <v>434185</v>
      </c>
      <c r="C72" s="461"/>
      <c r="D72" s="511">
        <f>'2425 School Size Ranges'!K8</f>
        <v>102930</v>
      </c>
      <c r="E72" s="461"/>
      <c r="F72" s="582">
        <f>'2425 School Size Ranges'!E8</f>
        <v>1633468.7600000002</v>
      </c>
    </row>
    <row r="75" spans="1:10" ht="15.75" customHeight="1" x14ac:dyDescent="0.35">
      <c r="H75" s="512"/>
    </row>
    <row r="76" spans="1:10" ht="15.75" customHeight="1" x14ac:dyDescent="0.35">
      <c r="H76" s="512"/>
      <c r="I76" s="410"/>
      <c r="J76" s="410"/>
    </row>
    <row r="77" spans="1:10" ht="15.75" customHeight="1" x14ac:dyDescent="0.35">
      <c r="H77" s="512"/>
    </row>
    <row r="78" spans="1:10" ht="15.5" x14ac:dyDescent="0.35">
      <c r="A78" s="1023" t="s">
        <v>1157</v>
      </c>
      <c r="B78" s="1024"/>
      <c r="C78" s="1024"/>
      <c r="D78" s="1024"/>
      <c r="E78" s="1024"/>
      <c r="F78" s="1024"/>
      <c r="G78" s="1028"/>
      <c r="H78" s="512"/>
    </row>
    <row r="79" spans="1:10" ht="15.75" customHeight="1" x14ac:dyDescent="0.35">
      <c r="A79" s="466"/>
      <c r="B79" s="466"/>
      <c r="C79" s="466"/>
      <c r="D79" s="466"/>
      <c r="E79" s="466"/>
      <c r="F79" s="466"/>
      <c r="G79" s="466"/>
      <c r="H79" s="512"/>
    </row>
    <row r="80" spans="1:10" ht="269.5" customHeight="1" x14ac:dyDescent="0.35">
      <c r="A80" s="1020" t="s">
        <v>1196</v>
      </c>
      <c r="B80" s="1021"/>
      <c r="C80" s="1021"/>
      <c r="D80" s="1021"/>
      <c r="E80" s="1021"/>
      <c r="F80" s="1021"/>
      <c r="G80" s="1022"/>
    </row>
    <row r="81" spans="1:8" ht="15.75" customHeight="1" x14ac:dyDescent="0.35">
      <c r="A81" s="513"/>
      <c r="B81" s="513"/>
      <c r="C81" s="513"/>
      <c r="D81" s="513"/>
      <c r="E81" s="513"/>
      <c r="F81" s="513"/>
      <c r="G81" s="513"/>
      <c r="H81" s="512"/>
    </row>
    <row r="82" spans="1:8" ht="31.5" customHeight="1" x14ac:dyDescent="0.35">
      <c r="A82" s="1023" t="s">
        <v>1158</v>
      </c>
      <c r="B82" s="1024"/>
      <c r="C82" s="1024"/>
      <c r="D82" s="1024"/>
      <c r="E82" s="1024"/>
      <c r="F82" s="1024"/>
      <c r="G82" s="1028"/>
      <c r="H82" s="512"/>
    </row>
    <row r="83" spans="1:8" ht="15.75" customHeight="1" x14ac:dyDescent="0.35">
      <c r="A83" s="513"/>
      <c r="B83" s="513"/>
      <c r="C83" s="513"/>
      <c r="D83" s="513"/>
      <c r="E83" s="513"/>
      <c r="F83" s="513"/>
      <c r="G83" s="513"/>
      <c r="H83" s="514"/>
    </row>
    <row r="84" spans="1:8" ht="42.75" customHeight="1" x14ac:dyDescent="0.35">
      <c r="A84" s="1029" t="s">
        <v>1159</v>
      </c>
      <c r="B84" s="1029"/>
      <c r="C84" s="1029"/>
      <c r="D84" s="1029"/>
      <c r="E84" s="1029"/>
      <c r="F84" s="1029"/>
      <c r="G84" s="1030"/>
      <c r="H84" s="514"/>
    </row>
    <row r="85" spans="1:8" ht="15.75" customHeight="1" x14ac:dyDescent="0.35">
      <c r="A85" s="466"/>
      <c r="B85" s="462"/>
      <c r="C85" s="462"/>
      <c r="D85" s="462"/>
      <c r="E85" s="462"/>
      <c r="F85" s="462"/>
      <c r="G85" s="462"/>
      <c r="H85" s="514"/>
    </row>
    <row r="86" spans="1:8" ht="83" customHeight="1" x14ac:dyDescent="0.35">
      <c r="A86" s="1020" t="s">
        <v>1181</v>
      </c>
      <c r="B86" s="1021"/>
      <c r="C86" s="1021"/>
      <c r="D86" s="1021"/>
      <c r="E86" s="1021"/>
      <c r="F86" s="1021"/>
      <c r="G86" s="1022"/>
      <c r="H86" s="514"/>
    </row>
    <row r="87" spans="1:8" ht="15.75" customHeight="1" x14ac:dyDescent="0.35">
      <c r="A87" s="466"/>
      <c r="B87" s="466"/>
      <c r="C87" s="466"/>
      <c r="D87" s="466"/>
      <c r="E87" s="466"/>
      <c r="F87" s="466"/>
      <c r="G87" s="466"/>
      <c r="H87" s="514"/>
    </row>
    <row r="88" spans="1:8" ht="65.150000000000006" customHeight="1" x14ac:dyDescent="0.35">
      <c r="A88" s="1021" t="s">
        <v>1183</v>
      </c>
      <c r="B88" s="1021"/>
      <c r="C88" s="1021"/>
      <c r="D88" s="1021"/>
      <c r="E88" s="1021"/>
      <c r="F88" s="1021"/>
      <c r="G88" s="1021"/>
      <c r="H88" s="514"/>
    </row>
    <row r="89" spans="1:8" ht="15.75" customHeight="1" x14ac:dyDescent="0.35">
      <c r="A89" s="466"/>
      <c r="B89" s="466"/>
      <c r="C89" s="466"/>
      <c r="D89" s="466"/>
      <c r="E89" s="466"/>
      <c r="F89" s="466"/>
      <c r="G89" s="466"/>
      <c r="H89" s="514"/>
    </row>
    <row r="90" spans="1:8" ht="31.5" customHeight="1" x14ac:dyDescent="0.35">
      <c r="A90" s="1023" t="s">
        <v>253</v>
      </c>
      <c r="B90" s="1024"/>
      <c r="C90" s="1024"/>
      <c r="D90" s="1024"/>
      <c r="E90" s="1024"/>
      <c r="F90" s="1024"/>
      <c r="G90" s="1028"/>
      <c r="H90" s="514"/>
    </row>
    <row r="91" spans="1:8" ht="15.75" customHeight="1" x14ac:dyDescent="0.35">
      <c r="A91" s="466"/>
      <c r="B91" s="466"/>
      <c r="C91" s="466"/>
      <c r="D91" s="466"/>
      <c r="E91" s="466"/>
      <c r="F91" s="466"/>
      <c r="G91" s="466"/>
      <c r="H91" s="514"/>
    </row>
    <row r="92" spans="1:8" ht="43.5" customHeight="1" x14ac:dyDescent="0.35">
      <c r="A92" s="1020" t="s">
        <v>1160</v>
      </c>
      <c r="B92" s="1021"/>
      <c r="C92" s="1021"/>
      <c r="D92" s="1021"/>
      <c r="E92" s="1021"/>
      <c r="F92" s="1021"/>
      <c r="G92" s="1022"/>
    </row>
    <row r="93" spans="1:8" ht="15.75" customHeight="1" x14ac:dyDescent="0.35">
      <c r="A93" s="466"/>
      <c r="B93" s="466"/>
      <c r="C93" s="466"/>
      <c r="D93" s="466"/>
      <c r="E93" s="466"/>
      <c r="F93" s="466"/>
      <c r="G93" s="466"/>
    </row>
    <row r="94" spans="1:8" ht="95.5" customHeight="1" x14ac:dyDescent="0.35">
      <c r="A94" s="1031" t="s">
        <v>254</v>
      </c>
      <c r="B94" s="1029"/>
      <c r="C94" s="1029"/>
      <c r="D94" s="1029"/>
      <c r="E94" s="1029"/>
      <c r="F94" s="1029"/>
      <c r="G94" s="1030"/>
    </row>
    <row r="95" spans="1:8" ht="15.75" customHeight="1" x14ac:dyDescent="0.35">
      <c r="A95" s="463"/>
      <c r="B95" s="464"/>
      <c r="C95" s="464"/>
      <c r="D95" s="464"/>
      <c r="E95" s="464"/>
      <c r="F95" s="464"/>
      <c r="G95" s="465"/>
    </row>
    <row r="96" spans="1:8" ht="41" customHeight="1" x14ac:dyDescent="0.35">
      <c r="A96" s="1020" t="s">
        <v>1184</v>
      </c>
      <c r="B96" s="1021"/>
      <c r="C96" s="1021"/>
      <c r="D96" s="1021"/>
      <c r="E96" s="1021"/>
      <c r="F96" s="1021"/>
      <c r="G96" s="1022"/>
    </row>
    <row r="97" spans="1:8" ht="15.75" customHeight="1" x14ac:dyDescent="0.35">
      <c r="A97" s="466"/>
      <c r="B97" s="466"/>
      <c r="C97" s="466"/>
      <c r="D97" s="466"/>
      <c r="E97" s="466"/>
      <c r="F97" s="466"/>
      <c r="G97" s="466"/>
    </row>
    <row r="98" spans="1:8" ht="64.5" customHeight="1" x14ac:dyDescent="0.35">
      <c r="A98" s="1021" t="s">
        <v>1193</v>
      </c>
      <c r="B98" s="1021"/>
      <c r="C98" s="1021"/>
      <c r="D98" s="1021"/>
      <c r="E98" s="1021"/>
      <c r="F98" s="1021"/>
      <c r="G98" s="1021"/>
    </row>
    <row r="99" spans="1:8" ht="15.75" customHeight="1" x14ac:dyDescent="0.35">
      <c r="A99" s="466"/>
      <c r="B99" s="466"/>
      <c r="C99" s="466"/>
      <c r="D99" s="466"/>
      <c r="E99" s="466"/>
      <c r="F99" s="466"/>
      <c r="G99" s="466"/>
    </row>
    <row r="100" spans="1:8" ht="23" customHeight="1" x14ac:dyDescent="0.35">
      <c r="A100" s="1032" t="s">
        <v>1171</v>
      </c>
      <c r="B100" s="1032"/>
      <c r="C100" s="1032"/>
      <c r="D100" s="1032"/>
      <c r="E100" s="1032"/>
      <c r="F100" s="1032"/>
      <c r="G100" s="1032"/>
    </row>
    <row r="101" spans="1:8" ht="15.75" customHeight="1" x14ac:dyDescent="0.35">
      <c r="G101" s="701"/>
      <c r="H101" s="514"/>
    </row>
    <row r="102" spans="1:8" ht="32.25" customHeight="1" x14ac:dyDescent="0.35">
      <c r="A102" s="1020" t="s">
        <v>255</v>
      </c>
      <c r="B102" s="1021"/>
      <c r="C102" s="1021"/>
      <c r="D102" s="1021"/>
      <c r="E102" s="1021"/>
      <c r="F102" s="1021"/>
      <c r="G102" s="1021"/>
      <c r="H102" s="514"/>
    </row>
    <row r="103" spans="1:8" ht="15.75" customHeight="1" x14ac:dyDescent="0.35">
      <c r="A103" s="700"/>
      <c r="B103" s="462"/>
      <c r="C103" s="462"/>
      <c r="D103" s="462"/>
      <c r="E103" s="462"/>
      <c r="F103" s="462"/>
      <c r="G103" s="466"/>
      <c r="H103" s="514"/>
    </row>
    <row r="104" spans="1:8" ht="27" customHeight="1" x14ac:dyDescent="0.35">
      <c r="A104" s="1020" t="s">
        <v>256</v>
      </c>
      <c r="B104" s="1021"/>
      <c r="C104" s="1021"/>
      <c r="D104" s="1021"/>
      <c r="E104" s="1021"/>
      <c r="F104" s="1021"/>
      <c r="G104" s="1022"/>
      <c r="H104" s="514"/>
    </row>
    <row r="105" spans="1:8" ht="15.75" customHeight="1" x14ac:dyDescent="0.35">
      <c r="A105" s="466"/>
      <c r="B105" s="466"/>
      <c r="C105" s="466"/>
      <c r="D105" s="466"/>
      <c r="E105" s="466"/>
      <c r="F105" s="466"/>
      <c r="G105" s="466"/>
      <c r="H105" s="514"/>
    </row>
    <row r="106" spans="1:8" ht="40.5" customHeight="1" x14ac:dyDescent="0.35">
      <c r="A106" s="1020" t="s">
        <v>1161</v>
      </c>
      <c r="B106" s="1021"/>
      <c r="C106" s="1021"/>
      <c r="D106" s="1021"/>
      <c r="E106" s="1021"/>
      <c r="F106" s="1021"/>
      <c r="G106" s="1022"/>
      <c r="H106" s="512"/>
    </row>
    <row r="107" spans="1:8" ht="15.75" customHeight="1" x14ac:dyDescent="0.35">
      <c r="A107" s="466"/>
      <c r="B107" s="466"/>
      <c r="C107" s="466"/>
      <c r="D107" s="466"/>
      <c r="E107" s="466"/>
      <c r="F107" s="466"/>
      <c r="G107" s="466"/>
      <c r="H107" s="512"/>
    </row>
    <row r="108" spans="1:8" ht="37.5" customHeight="1" x14ac:dyDescent="0.35">
      <c r="A108" s="1020" t="s">
        <v>1162</v>
      </c>
      <c r="B108" s="1021"/>
      <c r="C108" s="1021"/>
      <c r="D108" s="1021"/>
      <c r="E108" s="1021"/>
      <c r="F108" s="1021"/>
      <c r="G108" s="1022"/>
      <c r="H108" s="512"/>
    </row>
    <row r="109" spans="1:8" ht="15.75" customHeight="1" x14ac:dyDescent="0.35">
      <c r="A109" s="466"/>
      <c r="B109" s="466"/>
      <c r="C109" s="466"/>
      <c r="D109" s="466"/>
      <c r="E109" s="466"/>
      <c r="F109" s="466"/>
      <c r="G109" s="466"/>
      <c r="H109" s="512"/>
    </row>
    <row r="110" spans="1:8" ht="21.75" customHeight="1" x14ac:dyDescent="0.35">
      <c r="A110" s="1023" t="s">
        <v>1163</v>
      </c>
      <c r="B110" s="1024"/>
      <c r="C110" s="1024"/>
      <c r="D110" s="1024"/>
      <c r="E110" s="1024"/>
      <c r="F110" s="1024"/>
      <c r="G110" s="699"/>
      <c r="H110" s="512"/>
    </row>
    <row r="111" spans="1:8" ht="15.75" customHeight="1" x14ac:dyDescent="0.35">
      <c r="A111" s="466"/>
      <c r="B111" s="466"/>
      <c r="C111" s="466"/>
      <c r="D111" s="466"/>
      <c r="E111" s="466"/>
      <c r="F111" s="466"/>
      <c r="G111" s="466"/>
    </row>
    <row r="112" spans="1:8" ht="35" customHeight="1" x14ac:dyDescent="0.35">
      <c r="A112" s="1020" t="s">
        <v>1185</v>
      </c>
      <c r="B112" s="1021"/>
      <c r="C112" s="1021"/>
      <c r="D112" s="1021"/>
      <c r="E112" s="1021"/>
      <c r="F112" s="1021"/>
      <c r="G112" s="1022"/>
    </row>
    <row r="113" spans="1:7" ht="15.75" customHeight="1" x14ac:dyDescent="0.35">
      <c r="A113" s="513"/>
      <c r="B113" s="513"/>
      <c r="C113" s="513"/>
      <c r="D113" s="513"/>
      <c r="E113" s="513"/>
      <c r="F113" s="513"/>
      <c r="G113" s="513"/>
    </row>
    <row r="114" spans="1:7" ht="54.75" customHeight="1" x14ac:dyDescent="0.35">
      <c r="A114" s="1020" t="s">
        <v>1166</v>
      </c>
      <c r="B114" s="1021"/>
      <c r="C114" s="1021"/>
      <c r="D114" s="1021"/>
      <c r="E114" s="1021"/>
      <c r="F114" s="1021"/>
      <c r="G114" s="1022"/>
    </row>
    <row r="115" spans="1:7" ht="15.75" customHeight="1" x14ac:dyDescent="0.35">
      <c r="A115" s="466"/>
      <c r="B115" s="466"/>
      <c r="C115" s="466"/>
      <c r="D115" s="466"/>
      <c r="E115" s="466"/>
      <c r="F115" s="466"/>
      <c r="G115" s="466"/>
    </row>
    <row r="116" spans="1:7" ht="36" customHeight="1" x14ac:dyDescent="0.35">
      <c r="A116" s="1020" t="s">
        <v>1167</v>
      </c>
      <c r="B116" s="1021"/>
      <c r="C116" s="1021"/>
      <c r="D116" s="1021"/>
      <c r="E116" s="1021"/>
      <c r="F116" s="1021"/>
      <c r="G116" s="1022"/>
    </row>
    <row r="118" spans="1:7" ht="35.5" customHeight="1" x14ac:dyDescent="0.35">
      <c r="A118" s="1020" t="s">
        <v>1186</v>
      </c>
      <c r="B118" s="1021"/>
      <c r="C118" s="1021"/>
      <c r="D118" s="1021"/>
      <c r="E118" s="1021"/>
      <c r="F118" s="1021"/>
      <c r="G118" s="1022"/>
    </row>
    <row r="120" spans="1:7" ht="107.5" customHeight="1" x14ac:dyDescent="0.35">
      <c r="A120" s="1020" t="s">
        <v>1187</v>
      </c>
      <c r="B120" s="1021"/>
      <c r="C120" s="1021"/>
      <c r="D120" s="1021"/>
      <c r="E120" s="1021"/>
      <c r="F120" s="1021"/>
      <c r="G120" s="1022"/>
    </row>
    <row r="121" spans="1:7" ht="15.75" customHeight="1" x14ac:dyDescent="0.35">
      <c r="B121" s="693"/>
      <c r="C121" s="693"/>
      <c r="D121" s="693"/>
      <c r="E121" s="693"/>
      <c r="F121" s="693"/>
      <c r="G121" s="693"/>
    </row>
    <row r="122" spans="1:7" ht="44" customHeight="1" x14ac:dyDescent="0.35">
      <c r="A122" s="1020" t="s">
        <v>1168</v>
      </c>
      <c r="B122" s="1021"/>
      <c r="C122" s="1021"/>
      <c r="D122" s="1021"/>
      <c r="E122" s="1021"/>
      <c r="F122" s="1021"/>
      <c r="G122" s="1022"/>
    </row>
  </sheetData>
  <sheetProtection algorithmName="SHA-512" hashValue="T10MkNuclLXJX9QfIkxO2O/RdFg/cFpVA3eILNiQC3FMc6gv+yROPcvbyLgW1mFd6iVzKoIgZHSSN2Zi80cBTw==" saltValue="2No4HD1d62tsGzQ2ec1D2g==" spinCount="100000" sheet="1" objects="1" scenarios="1"/>
  <mergeCells count="26">
    <mergeCell ref="A92:G92"/>
    <mergeCell ref="A94:G94"/>
    <mergeCell ref="A96:G96"/>
    <mergeCell ref="A98:G98"/>
    <mergeCell ref="A100:G100"/>
    <mergeCell ref="A82:G82"/>
    <mergeCell ref="A84:G84"/>
    <mergeCell ref="A86:G86"/>
    <mergeCell ref="A88:G88"/>
    <mergeCell ref="A90:G90"/>
    <mergeCell ref="F5:G5"/>
    <mergeCell ref="B45:B46"/>
    <mergeCell ref="D45:D46"/>
    <mergeCell ref="A80:G80"/>
    <mergeCell ref="A78:G78"/>
    <mergeCell ref="A102:G102"/>
    <mergeCell ref="A104:G104"/>
    <mergeCell ref="A106:G106"/>
    <mergeCell ref="A108:G108"/>
    <mergeCell ref="A122:G122"/>
    <mergeCell ref="A112:G112"/>
    <mergeCell ref="A114:G114"/>
    <mergeCell ref="A116:G116"/>
    <mergeCell ref="A118:G118"/>
    <mergeCell ref="A120:G120"/>
    <mergeCell ref="A110:F110"/>
  </mergeCells>
  <phoneticPr fontId="127" type="noConversion"/>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&amp;C2024/25 Special School Budget Share Calculation
Funding Summary</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32F3-0132-4CB2-B446-8CF2F1C4950A}">
  <sheetPr>
    <tabColor rgb="FFFFC000"/>
  </sheetPr>
  <dimension ref="A1:BD169"/>
  <sheetViews>
    <sheetView topLeftCell="A45" workbookViewId="0">
      <selection activeCell="G72" sqref="G72"/>
    </sheetView>
  </sheetViews>
  <sheetFormatPr defaultColWidth="10.26953125" defaultRowHeight="12.5" x14ac:dyDescent="0.25"/>
  <cols>
    <col min="1" max="1" width="9.1796875" style="10" customWidth="1"/>
    <col min="2" max="2" width="26.7265625" style="10" customWidth="1"/>
    <col min="3" max="3" width="7.26953125" style="10" bestFit="1" customWidth="1"/>
    <col min="4" max="4" width="12.1796875" style="10" bestFit="1" customWidth="1"/>
    <col min="5" max="5" width="16.453125" style="10" customWidth="1"/>
    <col min="6" max="6" width="12.7265625" style="10" customWidth="1"/>
    <col min="7" max="7" width="14.54296875" style="10" customWidth="1"/>
    <col min="8" max="8" width="13.26953125" style="10" customWidth="1"/>
    <col min="9" max="9" width="13" style="11" customWidth="1"/>
    <col min="10" max="10" width="12.81640625" style="11" customWidth="1"/>
    <col min="11" max="11" width="12.26953125" style="10" customWidth="1"/>
    <col min="12" max="12" width="11.1796875" style="10" customWidth="1"/>
    <col min="13" max="13" width="13.26953125" style="10" customWidth="1"/>
    <col min="14" max="14" width="11.453125" style="10" customWidth="1"/>
    <col min="15" max="15" width="12.81640625" style="10" customWidth="1"/>
    <col min="16" max="16" width="12.453125" style="10" customWidth="1"/>
    <col min="17" max="17" width="12.453125" style="10" bestFit="1" customWidth="1"/>
    <col min="18" max="18" width="11.54296875" style="11" customWidth="1"/>
    <col min="19" max="19" width="12.453125" style="40" customWidth="1"/>
    <col min="20" max="20" width="12.26953125" style="10" customWidth="1"/>
    <col min="21" max="22" width="11.26953125" style="10" customWidth="1"/>
    <col min="23" max="23" width="10.26953125" style="10"/>
    <col min="24" max="24" width="11.1796875" style="10" bestFit="1" customWidth="1"/>
    <col min="25" max="27" width="11.1796875" style="10" customWidth="1"/>
    <col min="28" max="28" width="12.81640625" style="10" customWidth="1"/>
    <col min="29" max="29" width="11" style="10" customWidth="1"/>
    <col min="30" max="30" width="12.7265625" style="10" customWidth="1"/>
    <col min="31" max="31" width="13.1796875" style="10" customWidth="1"/>
    <col min="32" max="32" width="12.1796875" style="10" customWidth="1"/>
    <col min="33" max="33" width="11" style="10" customWidth="1"/>
    <col min="34" max="34" width="10.54296875" style="10" bestFit="1" customWidth="1"/>
    <col min="35" max="35" width="12.453125" style="10" customWidth="1"/>
    <col min="36" max="36" width="10.26953125" style="10"/>
    <col min="37" max="37" width="28.54296875" style="10" bestFit="1" customWidth="1"/>
    <col min="38" max="38" width="11.1796875" style="10" customWidth="1"/>
    <col min="39" max="39" width="1.26953125" style="10" customWidth="1"/>
    <col min="40" max="40" width="10" style="10" customWidth="1"/>
    <col min="41" max="41" width="11.453125" style="10" customWidth="1"/>
    <col min="42" max="42" width="10.54296875" style="10" bestFit="1" customWidth="1"/>
    <col min="43" max="43" width="10.26953125" style="10"/>
    <col min="44" max="44" width="15" style="10" customWidth="1"/>
    <col min="45" max="45" width="14.1796875" style="10" customWidth="1"/>
    <col min="46" max="49" width="10.26953125" style="10"/>
    <col min="50" max="50" width="14.7265625" style="11" customWidth="1"/>
    <col min="51" max="51" width="13.26953125" style="11" customWidth="1"/>
    <col min="52" max="53" width="10.26953125" style="10"/>
    <col min="54" max="54" width="19" style="11" bestFit="1" customWidth="1"/>
    <col min="55" max="55" width="16.81640625" style="11" customWidth="1"/>
    <col min="56" max="56" width="10.26953125" style="11"/>
    <col min="57" max="16384" width="10.26953125" style="10"/>
  </cols>
  <sheetData>
    <row r="1" spans="1:56" x14ac:dyDescent="0.25">
      <c r="A1" s="35" t="s">
        <v>76</v>
      </c>
      <c r="B1" s="15"/>
      <c r="C1" s="15"/>
      <c r="D1" s="15"/>
      <c r="E1" s="15"/>
      <c r="F1" s="15"/>
      <c r="G1" s="15"/>
      <c r="H1" s="15"/>
      <c r="I1" s="64"/>
      <c r="J1" s="64"/>
      <c r="K1" s="15"/>
      <c r="L1" s="15"/>
      <c r="M1" s="15"/>
      <c r="N1" s="15"/>
      <c r="O1" s="15"/>
      <c r="P1" s="15"/>
      <c r="Q1" s="15"/>
      <c r="R1" s="64"/>
      <c r="S1" s="522"/>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row>
    <row r="2" spans="1:56" ht="13" x14ac:dyDescent="0.3">
      <c r="A2" s="35"/>
      <c r="B2" s="15"/>
      <c r="C2" s="15"/>
      <c r="D2" s="15"/>
      <c r="E2" s="39" t="s">
        <v>905</v>
      </c>
      <c r="F2" s="15"/>
      <c r="G2" s="15"/>
      <c r="H2" s="15"/>
      <c r="I2" s="64"/>
      <c r="J2" s="64"/>
      <c r="K2" s="15"/>
      <c r="L2" s="15"/>
      <c r="M2" s="15"/>
      <c r="N2" s="15"/>
      <c r="O2" s="15"/>
      <c r="P2" s="15"/>
      <c r="Q2" s="15"/>
      <c r="R2" s="64"/>
      <c r="S2" s="522"/>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row>
    <row r="3" spans="1:56" ht="13" x14ac:dyDescent="0.3">
      <c r="A3" s="34" t="s">
        <v>906</v>
      </c>
      <c r="B3" s="15"/>
      <c r="C3" s="15"/>
      <c r="D3" s="15"/>
      <c r="E3" s="15"/>
      <c r="F3" s="15"/>
      <c r="G3" s="15"/>
      <c r="H3" s="15"/>
      <c r="I3" s="64"/>
      <c r="J3" s="64"/>
      <c r="K3" s="35" t="s">
        <v>738</v>
      </c>
      <c r="L3" s="15"/>
      <c r="M3" s="15"/>
      <c r="N3" s="15"/>
      <c r="O3" s="15"/>
      <c r="P3" s="15"/>
      <c r="Q3" s="15"/>
      <c r="R3" s="64"/>
      <c r="S3" s="522"/>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row>
    <row r="4" spans="1:56" x14ac:dyDescent="0.25">
      <c r="A4" s="15"/>
      <c r="B4" s="84"/>
      <c r="C4" s="84"/>
      <c r="D4" s="15"/>
      <c r="E4" s="15"/>
      <c r="F4" s="15"/>
      <c r="G4" s="15"/>
      <c r="H4" s="15"/>
      <c r="I4" s="64"/>
      <c r="J4" s="64"/>
      <c r="K4" s="15"/>
      <c r="L4" s="15"/>
      <c r="M4" s="15"/>
      <c r="N4" s="15"/>
      <c r="O4" s="1108" t="s">
        <v>77</v>
      </c>
      <c r="P4" s="1109"/>
      <c r="Q4" s="15"/>
      <c r="R4" s="636"/>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row>
    <row r="5" spans="1:56" ht="37.5" x14ac:dyDescent="0.25">
      <c r="A5" s="85" t="s">
        <v>48</v>
      </c>
      <c r="B5" s="67" t="s">
        <v>49</v>
      </c>
      <c r="C5" s="68" t="s">
        <v>50</v>
      </c>
      <c r="D5" s="64" t="s">
        <v>280</v>
      </c>
      <c r="E5" s="64" t="s">
        <v>281</v>
      </c>
      <c r="F5" s="64" t="s">
        <v>282</v>
      </c>
      <c r="G5" s="64" t="s">
        <v>283</v>
      </c>
      <c r="H5" s="64" t="s">
        <v>284</v>
      </c>
      <c r="I5" s="64" t="s">
        <v>285</v>
      </c>
      <c r="J5" s="64" t="s">
        <v>286</v>
      </c>
      <c r="K5" s="73" t="s">
        <v>78</v>
      </c>
      <c r="L5" s="73" t="s">
        <v>79</v>
      </c>
      <c r="M5" s="73" t="s">
        <v>80</v>
      </c>
      <c r="N5" s="73" t="s">
        <v>81</v>
      </c>
      <c r="O5" s="86" t="s">
        <v>82</v>
      </c>
      <c r="P5" s="110" t="s">
        <v>83</v>
      </c>
      <c r="Q5" s="15"/>
      <c r="R5" s="91" t="s">
        <v>287</v>
      </c>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row>
    <row r="6" spans="1:56" x14ac:dyDescent="0.25">
      <c r="A6" s="74">
        <v>9257010</v>
      </c>
      <c r="B6" s="67" t="s">
        <v>439</v>
      </c>
      <c r="C6" s="121">
        <v>5</v>
      </c>
      <c r="D6" s="523">
        <f>VLOOKUP(A6,'2425 Band Moderations'!$B$5:$S$21,6,(FALSE))</f>
        <v>8.9041095890410954E-2</v>
      </c>
      <c r="E6" s="523">
        <f>VLOOKUP(A6,'2425 Band Moderations'!$B$5:$S$21,8,(FALSE))</f>
        <v>0.39726027397260272</v>
      </c>
      <c r="F6" s="523">
        <f>VLOOKUP(A6,'2425 Band Moderations'!$B$5:$S$21,10,(FALSE))</f>
        <v>4.7945205479452052E-2</v>
      </c>
      <c r="G6" s="523">
        <f>VLOOKUP(A6,'2425 Band Moderations'!$B$5:$S$21,12,(FALSE))</f>
        <v>0.21232876712328766</v>
      </c>
      <c r="H6" s="523">
        <f>VLOOKUP(A6,'2425 Band Moderations'!$B$5:$S$21,14,(FALSE))</f>
        <v>5.4794520547945202E-2</v>
      </c>
      <c r="I6" s="523">
        <f>VLOOKUP(A6,'2425 Band Moderations'!$B$5:$S$21,16,(FALSE))</f>
        <v>9.5890410958904104E-2</v>
      </c>
      <c r="J6" s="523">
        <f>VLOOKUP(A6,'2425 Band Moderations'!$B$5:$S$21,18,(FALSE))</f>
        <v>0.10273972602739725</v>
      </c>
      <c r="K6" s="162">
        <v>122</v>
      </c>
      <c r="L6" s="524">
        <f>((((K6*D6)*$G$88)+((K6*E6)*$G$90)+((K6*F6)*$G$92)+((K6*G6)*$G$94)+((K6*H6)*$G$96)+((K6*I6)*$G$98)+((K6*J6)*$G$100))*(5/12))</f>
        <v>674162.80821917811</v>
      </c>
      <c r="M6" s="524">
        <v>0</v>
      </c>
      <c r="N6" s="524">
        <f>SUM(L6:M6)</f>
        <v>674162.80821917811</v>
      </c>
      <c r="O6" s="525">
        <f>(K6*(5/12))*10000</f>
        <v>508333.33333333337</v>
      </c>
      <c r="P6" s="525">
        <f>(VLOOKUP(A6,'2425 Funding Detail'!$A$4:$AA$20,24,FALSE)*5/12)*K6</f>
        <v>432320.93267274543</v>
      </c>
      <c r="Q6" s="65"/>
      <c r="R6" s="65">
        <f>(J6*K6*$G$100)*5/12</f>
        <v>135829.4520547945</v>
      </c>
      <c r="S6" s="88"/>
      <c r="T6" s="619"/>
      <c r="U6" s="619"/>
      <c r="V6" s="610"/>
      <c r="W6" s="610"/>
      <c r="X6" s="610"/>
      <c r="Y6" s="610"/>
      <c r="Z6" s="610"/>
      <c r="AA6" s="610"/>
      <c r="AB6" s="610"/>
      <c r="AC6" s="610"/>
      <c r="AD6" s="610"/>
      <c r="AE6" s="610"/>
      <c r="AF6" s="610"/>
      <c r="AG6" s="610"/>
      <c r="AH6" s="610"/>
      <c r="AI6" s="610"/>
      <c r="AJ6" s="610"/>
      <c r="AK6" s="610"/>
      <c r="AL6" s="610"/>
      <c r="AM6" s="610"/>
      <c r="AN6" s="610"/>
      <c r="AO6" s="15"/>
      <c r="AP6" s="15"/>
      <c r="AQ6" s="15"/>
      <c r="AR6" s="15"/>
      <c r="AS6" s="15"/>
      <c r="AT6" s="15"/>
      <c r="AU6" s="15"/>
      <c r="AV6" s="15"/>
      <c r="AW6" s="15"/>
      <c r="AX6" s="15"/>
      <c r="AY6" s="15"/>
      <c r="AZ6" s="15"/>
      <c r="BA6" s="15"/>
      <c r="BB6" s="15"/>
      <c r="BC6" s="15"/>
      <c r="BD6" s="15"/>
    </row>
    <row r="7" spans="1:56" ht="12.75" customHeight="1" x14ac:dyDescent="0.25">
      <c r="A7" s="74">
        <v>9257005</v>
      </c>
      <c r="B7" s="67" t="s">
        <v>63</v>
      </c>
      <c r="C7" s="121">
        <v>4</v>
      </c>
      <c r="D7" s="523">
        <f>VLOOKUP(A7,'2425 Band Moderations'!$B$5:$S$21,6,(FALSE))</f>
        <v>5.6338028169014086E-2</v>
      </c>
      <c r="E7" s="523">
        <f>VLOOKUP(A7,'2425 Band Moderations'!$B$5:$S$21,8,(FALSE))</f>
        <v>0.18309859154929578</v>
      </c>
      <c r="F7" s="523">
        <f>VLOOKUP(A7,'2425 Band Moderations'!$B$5:$S$21,10,(FALSE))</f>
        <v>0.11267605633802817</v>
      </c>
      <c r="G7" s="523">
        <f>VLOOKUP(A7,'2425 Band Moderations'!$B$5:$S$21,12,(FALSE))</f>
        <v>0.18309859154929578</v>
      </c>
      <c r="H7" s="523">
        <f>VLOOKUP(A7,'2425 Band Moderations'!$B$5:$S$21,14,(FALSE))</f>
        <v>0.12676056338028169</v>
      </c>
      <c r="I7" s="523">
        <f>VLOOKUP(A7,'2425 Band Moderations'!$B$5:$S$21,16,(FALSE))</f>
        <v>0.21126760563380281</v>
      </c>
      <c r="J7" s="523">
        <f>VLOOKUP(A7,'2425 Band Moderations'!$B$5:$S$21,18,(FALSE))</f>
        <v>0.12676056338028169</v>
      </c>
      <c r="K7" s="162">
        <v>54</v>
      </c>
      <c r="L7" s="524">
        <f t="shared" ref="L7:L22" si="0">((((K7*D7)*$G$88)+((K7*E7)*$G$90)+((K7*F7)*$G$92)+((K7*G7)*$G$94)+((K7*H7)*$G$96)+((K7*I7)*$G$98)+((K7*J7)*$G$100))*(5/12))</f>
        <v>353209.1197183099</v>
      </c>
      <c r="M7" s="524">
        <v>0</v>
      </c>
      <c r="N7" s="524">
        <f t="shared" ref="N7:N22" si="1">SUM(L7:M7)</f>
        <v>353209.1197183099</v>
      </c>
      <c r="O7" s="525">
        <f t="shared" ref="O7:O22" si="2">(K7*(5/12))*10000</f>
        <v>225000</v>
      </c>
      <c r="P7" s="525">
        <f>(VLOOKUP(A7,'2425 Funding Detail'!$A$4:$AA$20,24,FALSE)*5/12)*K7</f>
        <v>310997.8694426759</v>
      </c>
      <c r="Q7" s="65"/>
      <c r="R7" s="65">
        <f t="shared" ref="R7:R22" si="3">(J7*K7*$G$100)*5/12</f>
        <v>74177.746478873232</v>
      </c>
      <c r="S7" s="63"/>
      <c r="T7" s="619"/>
      <c r="U7" s="619"/>
      <c r="V7" s="610"/>
      <c r="W7" s="610"/>
      <c r="X7" s="610"/>
      <c r="Y7" s="610"/>
      <c r="Z7" s="610"/>
      <c r="AA7" s="610"/>
      <c r="AB7" s="610"/>
      <c r="AC7" s="610"/>
      <c r="AD7" s="610"/>
      <c r="AE7" s="610"/>
      <c r="AF7" s="610"/>
      <c r="AG7" s="610"/>
      <c r="AH7" s="15"/>
      <c r="AI7" s="15"/>
      <c r="AJ7" s="15"/>
      <c r="AK7" s="15"/>
      <c r="AL7" s="15"/>
      <c r="AM7" s="15"/>
      <c r="AN7" s="15"/>
      <c r="AO7" s="15"/>
      <c r="AP7" s="15"/>
      <c r="AQ7" s="15"/>
      <c r="AR7" s="15"/>
      <c r="AS7" s="15"/>
      <c r="AT7" s="15"/>
      <c r="AU7" s="15"/>
      <c r="AV7" s="15"/>
      <c r="AW7" s="15"/>
      <c r="AX7" s="15"/>
      <c r="AY7" s="15"/>
      <c r="AZ7" s="15"/>
      <c r="BA7" s="15"/>
      <c r="BB7" s="15"/>
      <c r="BC7" s="15"/>
      <c r="BD7" s="15"/>
    </row>
    <row r="8" spans="1:56" ht="12.75" customHeight="1" x14ac:dyDescent="0.25">
      <c r="A8" s="74">
        <v>9257025</v>
      </c>
      <c r="B8" s="67" t="s">
        <v>64</v>
      </c>
      <c r="C8" s="121">
        <v>4</v>
      </c>
      <c r="D8" s="523">
        <f>VLOOKUP(A8,'2425 Band Moderations'!$B$5:$S$21,6,(FALSE))</f>
        <v>8.3333333333333329E-2</v>
      </c>
      <c r="E8" s="523">
        <f>VLOOKUP(A8,'2425 Band Moderations'!$B$5:$S$21,8,(FALSE))</f>
        <v>0.64583333333333337</v>
      </c>
      <c r="F8" s="523">
        <f>VLOOKUP(A8,'2425 Band Moderations'!$B$5:$S$21,10,(FALSE))</f>
        <v>4.1666666666666664E-2</v>
      </c>
      <c r="G8" s="523">
        <f>VLOOKUP(A8,'2425 Band Moderations'!$B$5:$S$21,12,(FALSE))</f>
        <v>0.125</v>
      </c>
      <c r="H8" s="523">
        <f>VLOOKUP(A8,'2425 Band Moderations'!$B$5:$S$21,14,(FALSE))</f>
        <v>0</v>
      </c>
      <c r="I8" s="523">
        <f>VLOOKUP(A8,'2425 Band Moderations'!$B$5:$S$21,16,(FALSE))</f>
        <v>7.2916666666666671E-2</v>
      </c>
      <c r="J8" s="523">
        <f>VLOOKUP(A8,'2425 Band Moderations'!$B$5:$S$21,18,(FALSE))</f>
        <v>3.125E-2</v>
      </c>
      <c r="K8" s="162">
        <v>77</v>
      </c>
      <c r="L8" s="524">
        <f t="shared" si="0"/>
        <v>337593.8671875</v>
      </c>
      <c r="M8" s="524">
        <v>0</v>
      </c>
      <c r="N8" s="524">
        <f t="shared" si="1"/>
        <v>337593.8671875</v>
      </c>
      <c r="O8" s="525">
        <f t="shared" si="2"/>
        <v>320833.33333333337</v>
      </c>
      <c r="P8" s="525">
        <f>(VLOOKUP(A8,'2425 Funding Detail'!$A$4:$AA$20,24,FALSE)*5/12)*K8</f>
        <v>206250.28844418298</v>
      </c>
      <c r="Q8" s="65"/>
      <c r="R8" s="65">
        <f t="shared" si="3"/>
        <v>26075.729166666668</v>
      </c>
      <c r="S8" s="63"/>
      <c r="T8" s="619"/>
      <c r="U8" s="619"/>
      <c r="V8" s="610"/>
      <c r="W8" s="610"/>
      <c r="X8" s="610"/>
      <c r="Y8" s="610"/>
      <c r="Z8" s="610"/>
      <c r="AA8" s="610"/>
      <c r="AB8" s="610"/>
      <c r="AC8" s="610"/>
      <c r="AD8" s="610"/>
      <c r="AE8" s="610"/>
      <c r="AF8" s="610"/>
      <c r="AG8" s="610"/>
      <c r="AH8" s="15"/>
      <c r="AI8" s="15"/>
      <c r="AJ8" s="15"/>
      <c r="AK8" s="15"/>
      <c r="AL8" s="15"/>
      <c r="AM8" s="15"/>
      <c r="AN8" s="15"/>
      <c r="AO8" s="15"/>
      <c r="AP8" s="15"/>
      <c r="AQ8" s="15"/>
      <c r="AR8" s="15"/>
      <c r="AS8" s="15"/>
      <c r="AT8" s="15"/>
      <c r="AU8" s="15"/>
      <c r="AV8" s="15"/>
      <c r="AW8" s="15"/>
      <c r="AX8" s="15"/>
      <c r="AY8" s="15"/>
      <c r="AZ8" s="15"/>
      <c r="BA8" s="15"/>
      <c r="BB8" s="15"/>
      <c r="BC8" s="15"/>
      <c r="BD8" s="15"/>
    </row>
    <row r="9" spans="1:56" x14ac:dyDescent="0.25">
      <c r="A9" s="74">
        <v>9257024</v>
      </c>
      <c r="B9" s="67" t="s">
        <v>66</v>
      </c>
      <c r="C9" s="121">
        <v>4</v>
      </c>
      <c r="D9" s="523">
        <f>VLOOKUP(A9,'2425 Band Moderations'!$B$5:$S$21,6,(FALSE))</f>
        <v>0.10526315789473684</v>
      </c>
      <c r="E9" s="523">
        <f>VLOOKUP(A9,'2425 Band Moderations'!$B$5:$S$21,8,(FALSE))</f>
        <v>0.56842105263157894</v>
      </c>
      <c r="F9" s="523">
        <f>VLOOKUP(A9,'2425 Band Moderations'!$B$5:$S$21,10,(FALSE))</f>
        <v>2.1052631578947368E-2</v>
      </c>
      <c r="G9" s="523">
        <f>VLOOKUP(A9,'2425 Band Moderations'!$B$5:$S$21,12,(FALSE))</f>
        <v>0.14736842105263157</v>
      </c>
      <c r="H9" s="523">
        <f>VLOOKUP(A9,'2425 Band Moderations'!$B$5:$S$21,14,(FALSE))</f>
        <v>6.3157894736842107E-2</v>
      </c>
      <c r="I9" s="523">
        <f>VLOOKUP(A9,'2425 Band Moderations'!$B$5:$S$21,16,(FALSE))</f>
        <v>4.2105263157894736E-2</v>
      </c>
      <c r="J9" s="523">
        <f>VLOOKUP(A9,'2425 Band Moderations'!$B$5:$S$21,18,(FALSE))</f>
        <v>5.2631578947368418E-2</v>
      </c>
      <c r="K9" s="162">
        <v>80</v>
      </c>
      <c r="L9" s="524">
        <f t="shared" si="0"/>
        <v>371434.3859649123</v>
      </c>
      <c r="M9" s="524">
        <v>0</v>
      </c>
      <c r="N9" s="524">
        <f t="shared" si="1"/>
        <v>371434.3859649123</v>
      </c>
      <c r="O9" s="525">
        <f t="shared" si="2"/>
        <v>333333.33333333337</v>
      </c>
      <c r="P9" s="525">
        <f>(VLOOKUP(A9,'2425 Funding Detail'!$A$4:$AA$20,24,FALSE)*5/12)*K9</f>
        <v>233460.2534590158</v>
      </c>
      <c r="Q9" s="65"/>
      <c r="R9" s="65">
        <f t="shared" si="3"/>
        <v>45628.070175438595</v>
      </c>
      <c r="S9" s="63"/>
      <c r="T9" s="619"/>
      <c r="U9" s="619"/>
      <c r="V9" s="610"/>
      <c r="W9" s="610"/>
      <c r="X9" s="610"/>
      <c r="Y9" s="610"/>
      <c r="Z9" s="610"/>
      <c r="AA9" s="610"/>
      <c r="AB9" s="610"/>
      <c r="AC9" s="610"/>
      <c r="AD9" s="610"/>
      <c r="AE9" s="610"/>
      <c r="AF9" s="610"/>
      <c r="AG9" s="610"/>
      <c r="AH9" s="15"/>
      <c r="AI9" s="15"/>
      <c r="AJ9" s="15"/>
      <c r="AK9" s="15"/>
      <c r="AL9" s="15"/>
      <c r="AM9" s="15"/>
      <c r="AN9" s="15"/>
      <c r="AO9" s="15"/>
      <c r="AP9" s="15"/>
      <c r="AQ9" s="15"/>
      <c r="AR9" s="15"/>
      <c r="AS9" s="15"/>
      <c r="AT9" s="15"/>
      <c r="AU9" s="15"/>
      <c r="AV9" s="15"/>
      <c r="AW9" s="15"/>
      <c r="AX9" s="15"/>
      <c r="AY9" s="15"/>
      <c r="AZ9" s="15"/>
      <c r="BA9" s="15"/>
      <c r="BB9" s="15"/>
      <c r="BC9" s="15"/>
      <c r="BD9" s="15"/>
    </row>
    <row r="10" spans="1:56" ht="12.75" customHeight="1" x14ac:dyDescent="0.25">
      <c r="A10" s="74">
        <v>9257031</v>
      </c>
      <c r="B10" s="67" t="s">
        <v>84</v>
      </c>
      <c r="C10" s="121">
        <v>5</v>
      </c>
      <c r="D10" s="523">
        <f>VLOOKUP(A10,'2425 Band Moderations'!$B$5:$S$21,6,(FALSE))</f>
        <v>0</v>
      </c>
      <c r="E10" s="523">
        <f>VLOOKUP(A10,'2425 Band Moderations'!$B$5:$S$21,8,(FALSE))</f>
        <v>0</v>
      </c>
      <c r="F10" s="523">
        <f>VLOOKUP(A10,'2425 Band Moderations'!$B$5:$S$21,10,(FALSE))</f>
        <v>1</v>
      </c>
      <c r="G10" s="523">
        <f>VLOOKUP(A10,'2425 Band Moderations'!$B$5:$S$21,12,(FALSE))</f>
        <v>0</v>
      </c>
      <c r="H10" s="523">
        <f>VLOOKUP(A10,'2425 Band Moderations'!$B$5:$S$21,14,(FALSE))</f>
        <v>0</v>
      </c>
      <c r="I10" s="523">
        <f>VLOOKUP(A10,'2425 Band Moderations'!$B$5:$S$21,16,(FALSE))</f>
        <v>0</v>
      </c>
      <c r="J10" s="523">
        <f>VLOOKUP(A10,'2425 Band Moderations'!$B$5:$S$21,18,(FALSE))</f>
        <v>0</v>
      </c>
      <c r="K10" s="162">
        <v>81</v>
      </c>
      <c r="L10" s="524">
        <f t="shared" si="0"/>
        <v>541181.25</v>
      </c>
      <c r="M10" s="524">
        <v>0</v>
      </c>
      <c r="N10" s="524">
        <f t="shared" si="1"/>
        <v>541181.25</v>
      </c>
      <c r="O10" s="525">
        <f t="shared" si="2"/>
        <v>337500</v>
      </c>
      <c r="P10" s="525">
        <f>(VLOOKUP(A10,'2425 Funding Detail'!$A$4:$AA$20,24,FALSE)*5/12)*K10</f>
        <v>436303.17746113986</v>
      </c>
      <c r="Q10" s="65"/>
      <c r="R10" s="65">
        <f t="shared" si="3"/>
        <v>0</v>
      </c>
      <c r="S10" s="63"/>
      <c r="T10" s="619"/>
      <c r="U10" s="619"/>
      <c r="V10" s="610"/>
      <c r="W10" s="610"/>
      <c r="X10" s="610"/>
      <c r="Y10" s="610"/>
      <c r="Z10" s="610"/>
      <c r="AA10" s="610"/>
      <c r="AB10" s="610"/>
      <c r="AC10" s="610"/>
      <c r="AD10" s="610"/>
      <c r="AE10" s="610"/>
      <c r="AF10" s="610"/>
      <c r="AG10" s="610"/>
      <c r="AH10" s="15"/>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1:56" x14ac:dyDescent="0.25">
      <c r="A11" s="74">
        <v>9257033</v>
      </c>
      <c r="B11" s="67" t="s">
        <v>74</v>
      </c>
      <c r="C11" s="121" t="s">
        <v>451</v>
      </c>
      <c r="D11" s="523">
        <f>VLOOKUP(A11,'2425 Band Moderations'!$B$5:$S$21,6,(FALSE))</f>
        <v>0.12389380530973451</v>
      </c>
      <c r="E11" s="523">
        <f>VLOOKUP(A11,'2425 Band Moderations'!$B$5:$S$21,8,(FALSE))</f>
        <v>0.68141592920353977</v>
      </c>
      <c r="F11" s="523">
        <f>VLOOKUP(A11,'2425 Band Moderations'!$B$5:$S$21,10,(FALSE))</f>
        <v>1.7699115044247787E-2</v>
      </c>
      <c r="G11" s="523">
        <f>VLOOKUP(A11,'2425 Band Moderations'!$B$5:$S$21,12,(FALSE))</f>
        <v>0.10619469026548672</v>
      </c>
      <c r="H11" s="523">
        <f>VLOOKUP(A11,'2425 Band Moderations'!$B$5:$S$21,14,(FALSE))</f>
        <v>3.5398230088495575E-2</v>
      </c>
      <c r="I11" s="523">
        <f>VLOOKUP(A11,'2425 Band Moderations'!$B$5:$S$21,16,(FALSE))</f>
        <v>8.8495575221238937E-3</v>
      </c>
      <c r="J11" s="523">
        <f>VLOOKUP(A11,'2425 Band Moderations'!$B$5:$S$21,18,(FALSE))</f>
        <v>2.6548672566371681E-2</v>
      </c>
      <c r="K11" s="162">
        <v>115</v>
      </c>
      <c r="L11" s="524">
        <f t="shared" si="0"/>
        <v>466318.63938053092</v>
      </c>
      <c r="M11" s="524">
        <v>0</v>
      </c>
      <c r="N11" s="524">
        <f t="shared" si="1"/>
        <v>466318.63938053092</v>
      </c>
      <c r="O11" s="525">
        <f t="shared" si="2"/>
        <v>479166.66666666669</v>
      </c>
      <c r="P11" s="525">
        <f>(VLOOKUP(A11,'2425 Funding Detail'!$A$4:$AA$20,24,FALSE)*5/12)*K11</f>
        <v>250853.43990924995</v>
      </c>
      <c r="Q11" s="65"/>
      <c r="R11" s="65">
        <f t="shared" si="3"/>
        <v>33085.398230088496</v>
      </c>
      <c r="S11" s="63"/>
      <c r="T11" s="619"/>
      <c r="U11" s="619"/>
      <c r="V11" s="610"/>
      <c r="W11" s="610"/>
      <c r="X11" s="610"/>
      <c r="Y11" s="610"/>
      <c r="Z11" s="610"/>
      <c r="AA11" s="610"/>
      <c r="AB11" s="610"/>
      <c r="AC11" s="610"/>
      <c r="AD11" s="610"/>
      <c r="AE11" s="610"/>
      <c r="AF11" s="610"/>
      <c r="AG11" s="610"/>
      <c r="AH11" s="15"/>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1:56" x14ac:dyDescent="0.25">
      <c r="A12" s="74">
        <v>9257008</v>
      </c>
      <c r="B12" s="67" t="s">
        <v>67</v>
      </c>
      <c r="C12" s="121">
        <v>4</v>
      </c>
      <c r="D12" s="523">
        <f>VLOOKUP(A12,'2425 Band Moderations'!$B$5:$S$21,6,(FALSE))</f>
        <v>8.9108910891089105E-2</v>
      </c>
      <c r="E12" s="523">
        <f>VLOOKUP(A12,'2425 Band Moderations'!$B$5:$S$21,8,(FALSE))</f>
        <v>0.64356435643564358</v>
      </c>
      <c r="F12" s="523">
        <f>VLOOKUP(A12,'2425 Band Moderations'!$B$5:$S$21,10,(FALSE))</f>
        <v>4.9504950495049507E-2</v>
      </c>
      <c r="G12" s="523">
        <f>VLOOKUP(A12,'2425 Band Moderations'!$B$5:$S$21,12,(FALSE))</f>
        <v>0.13861386138613863</v>
      </c>
      <c r="H12" s="523">
        <f>VLOOKUP(A12,'2425 Band Moderations'!$B$5:$S$21,14,(FALSE))</f>
        <v>0</v>
      </c>
      <c r="I12" s="523">
        <f>VLOOKUP(A12,'2425 Band Moderations'!$B$5:$S$21,16,(FALSE))</f>
        <v>7.9207920792079209E-2</v>
      </c>
      <c r="J12" s="523">
        <f>VLOOKUP(A12,'2425 Band Moderations'!$B$5:$S$21,18,(FALSE))</f>
        <v>0</v>
      </c>
      <c r="K12" s="162">
        <v>101</v>
      </c>
      <c r="L12" s="524">
        <f t="shared" si="0"/>
        <v>428770</v>
      </c>
      <c r="M12" s="524">
        <v>0</v>
      </c>
      <c r="N12" s="524">
        <f t="shared" si="1"/>
        <v>428770</v>
      </c>
      <c r="O12" s="525">
        <f t="shared" si="2"/>
        <v>420833.33333333337</v>
      </c>
      <c r="P12" s="525">
        <f>(VLOOKUP(A12,'2425 Funding Detail'!$A$4:$AA$20,24,FALSE)*5/12)*K12</f>
        <v>244847.6666666666</v>
      </c>
      <c r="Q12" s="65"/>
      <c r="R12" s="65">
        <f t="shared" si="3"/>
        <v>0</v>
      </c>
      <c r="S12" s="63"/>
      <c r="T12" s="619"/>
      <c r="U12" s="619"/>
      <c r="V12" s="610"/>
      <c r="W12" s="610"/>
      <c r="X12" s="610"/>
      <c r="Y12" s="610"/>
      <c r="Z12" s="610"/>
      <c r="AA12" s="610"/>
      <c r="AB12" s="610"/>
      <c r="AC12" s="610"/>
      <c r="AD12" s="610"/>
      <c r="AE12" s="610"/>
      <c r="AF12" s="610"/>
      <c r="AG12" s="610"/>
      <c r="AH12" s="15"/>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1:56" x14ac:dyDescent="0.25">
      <c r="A13" s="74">
        <v>9257034</v>
      </c>
      <c r="B13" s="67" t="s">
        <v>75</v>
      </c>
      <c r="C13" s="121" t="s">
        <v>451</v>
      </c>
      <c r="D13" s="523">
        <f>VLOOKUP(A13,'2425 Band Moderations'!$B$5:$S$21,6,(FALSE))</f>
        <v>0.37692307692307692</v>
      </c>
      <c r="E13" s="523">
        <f>VLOOKUP(A13,'2425 Band Moderations'!$B$5:$S$21,8,(FALSE))</f>
        <v>0.4</v>
      </c>
      <c r="F13" s="523">
        <f>VLOOKUP(A13,'2425 Band Moderations'!$B$5:$S$21,10,(FALSE))</f>
        <v>7.6923076923076927E-2</v>
      </c>
      <c r="G13" s="523">
        <f>VLOOKUP(A13,'2425 Band Moderations'!$B$5:$S$21,12,(FALSE))</f>
        <v>6.1538461538461542E-2</v>
      </c>
      <c r="H13" s="523">
        <f>VLOOKUP(A13,'2425 Band Moderations'!$B$5:$S$21,14,(FALSE))</f>
        <v>1.5384615384615385E-2</v>
      </c>
      <c r="I13" s="523">
        <f>VLOOKUP(A13,'2425 Band Moderations'!$B$5:$S$21,16,(FALSE))</f>
        <v>5.3846153846153849E-2</v>
      </c>
      <c r="J13" s="523">
        <f>VLOOKUP(A13,'2425 Band Moderations'!$B$5:$S$21,18,(FALSE))</f>
        <v>1.5384615384615385E-2</v>
      </c>
      <c r="K13" s="162">
        <v>106</v>
      </c>
      <c r="L13" s="524">
        <f t="shared" si="0"/>
        <v>422526.19230769237</v>
      </c>
      <c r="M13" s="524">
        <v>0</v>
      </c>
      <c r="N13" s="524">
        <f t="shared" si="1"/>
        <v>422526.19230769237</v>
      </c>
      <c r="O13" s="525">
        <f t="shared" si="2"/>
        <v>441666.66666666669</v>
      </c>
      <c r="P13" s="525">
        <f>(VLOOKUP(A13,'2425 Funding Detail'!$A$4:$AA$20,24,FALSE)*5/12)*K13</f>
        <v>210659.52095697241</v>
      </c>
      <c r="Q13" s="65"/>
      <c r="R13" s="65">
        <f t="shared" si="3"/>
        <v>17672.102564102563</v>
      </c>
      <c r="S13" s="63"/>
      <c r="T13" s="619"/>
      <c r="U13" s="619"/>
      <c r="V13" s="610"/>
      <c r="W13" s="610"/>
      <c r="X13" s="610"/>
      <c r="Y13" s="610"/>
      <c r="Z13" s="610"/>
      <c r="AA13" s="610"/>
      <c r="AB13" s="610"/>
      <c r="AC13" s="610"/>
      <c r="AD13" s="610"/>
      <c r="AE13" s="610"/>
      <c r="AF13" s="610"/>
      <c r="AG13" s="610"/>
      <c r="AH13" s="15"/>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x14ac:dyDescent="0.25">
      <c r="A14" s="74">
        <v>9257002</v>
      </c>
      <c r="B14" s="67" t="s">
        <v>68</v>
      </c>
      <c r="C14" s="121">
        <v>5</v>
      </c>
      <c r="D14" s="523">
        <f>VLOOKUP(A14,'2425 Band Moderations'!$B$5:$S$21,6,(FALSE))</f>
        <v>0.15384615384615385</v>
      </c>
      <c r="E14" s="523">
        <f>VLOOKUP(A14,'2425 Band Moderations'!$B$5:$S$21,8,(FALSE))</f>
        <v>0.53846153846153844</v>
      </c>
      <c r="F14" s="523">
        <f>VLOOKUP(A14,'2425 Band Moderations'!$B$5:$S$21,10,(FALSE))</f>
        <v>0.12820512820512819</v>
      </c>
      <c r="G14" s="523">
        <f>VLOOKUP(A14,'2425 Band Moderations'!$B$5:$S$21,12,(FALSE))</f>
        <v>5.128205128205128E-2</v>
      </c>
      <c r="H14" s="523">
        <f>VLOOKUP(A14,'2425 Band Moderations'!$B$5:$S$21,14,(FALSE))</f>
        <v>2.564102564102564E-2</v>
      </c>
      <c r="I14" s="523">
        <f>VLOOKUP(A14,'2425 Band Moderations'!$B$5:$S$21,16,(FALSE))</f>
        <v>8.9743589743589744E-2</v>
      </c>
      <c r="J14" s="523">
        <f>VLOOKUP(A14,'2425 Band Moderations'!$B$5:$S$21,18,(FALSE))</f>
        <v>1.282051282051282E-2</v>
      </c>
      <c r="K14" s="162">
        <v>176</v>
      </c>
      <c r="L14" s="524">
        <f t="shared" si="0"/>
        <v>773765.38461538462</v>
      </c>
      <c r="M14" s="524">
        <v>0</v>
      </c>
      <c r="N14" s="524">
        <f t="shared" si="1"/>
        <v>773765.38461538462</v>
      </c>
      <c r="O14" s="525">
        <f t="shared" si="2"/>
        <v>733333.33333333337</v>
      </c>
      <c r="P14" s="525">
        <f>(VLOOKUP(A14,'2425 Funding Detail'!$A$4:$AA$20,24,FALSE)*5/12)*K14</f>
        <v>348711.81185212248</v>
      </c>
      <c r="Q14" s="65"/>
      <c r="R14" s="65">
        <f t="shared" si="3"/>
        <v>24451.965811965812</v>
      </c>
      <c r="S14" s="63"/>
      <c r="T14" s="619"/>
      <c r="U14" s="619"/>
      <c r="V14" s="610"/>
      <c r="W14" s="610"/>
      <c r="X14" s="610"/>
      <c r="Y14" s="610"/>
      <c r="Z14" s="610"/>
      <c r="AA14" s="610"/>
      <c r="AB14" s="610"/>
      <c r="AC14" s="610"/>
      <c r="AD14" s="610"/>
      <c r="AE14" s="610"/>
      <c r="AF14" s="610"/>
      <c r="AG14" s="610"/>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1:56" x14ac:dyDescent="0.25">
      <c r="A15" s="74">
        <v>9257009</v>
      </c>
      <c r="B15" s="67" t="s">
        <v>334</v>
      </c>
      <c r="C15" s="121" t="s">
        <v>451</v>
      </c>
      <c r="D15" s="523">
        <f>VLOOKUP(A15,'2425 Band Moderations'!$B$5:$S$21,6,(FALSE))</f>
        <v>0.18407960199004975</v>
      </c>
      <c r="E15" s="523">
        <f>VLOOKUP(A15,'2425 Band Moderations'!$B$5:$S$21,8,(FALSE))</f>
        <v>0.49751243781094528</v>
      </c>
      <c r="F15" s="523">
        <f>VLOOKUP(A15,'2425 Band Moderations'!$B$5:$S$21,10,(FALSE))</f>
        <v>6.965174129353234E-2</v>
      </c>
      <c r="G15" s="523">
        <f>VLOOKUP(A15,'2425 Band Moderations'!$B$5:$S$21,12,(FALSE))</f>
        <v>6.965174129353234E-2</v>
      </c>
      <c r="H15" s="523">
        <f>VLOOKUP(A15,'2425 Band Moderations'!$B$5:$S$21,14,(FALSE))</f>
        <v>3.482587064676617E-2</v>
      </c>
      <c r="I15" s="523">
        <f>VLOOKUP(A15,'2425 Band Moderations'!$B$5:$S$21,16,(FALSE))</f>
        <v>8.45771144278607E-2</v>
      </c>
      <c r="J15" s="523">
        <f>VLOOKUP(A15,'2425 Band Moderations'!$B$5:$S$21,18,(FALSE))</f>
        <v>5.9701492537313432E-2</v>
      </c>
      <c r="K15" s="162">
        <v>201</v>
      </c>
      <c r="L15" s="524">
        <f t="shared" si="0"/>
        <v>927090</v>
      </c>
      <c r="M15" s="524">
        <v>0</v>
      </c>
      <c r="N15" s="524">
        <f t="shared" si="1"/>
        <v>927090</v>
      </c>
      <c r="O15" s="525">
        <f t="shared" si="2"/>
        <v>837500</v>
      </c>
      <c r="P15" s="525">
        <f>(VLOOKUP(A15,'2425 Funding Detail'!$A$4:$AA$20,24,FALSE)*5/12)*K15</f>
        <v>444515.97714290489</v>
      </c>
      <c r="Q15" s="65"/>
      <c r="R15" s="65">
        <f t="shared" si="3"/>
        <v>130040</v>
      </c>
      <c r="S15" s="63"/>
      <c r="T15" s="619"/>
      <c r="U15" s="619"/>
      <c r="V15" s="610"/>
      <c r="W15" s="610"/>
      <c r="X15" s="610"/>
      <c r="Y15" s="610"/>
      <c r="Z15" s="610"/>
      <c r="AA15" s="610"/>
      <c r="AB15" s="610"/>
      <c r="AC15" s="610"/>
      <c r="AD15" s="610"/>
      <c r="AE15" s="610"/>
      <c r="AF15" s="610"/>
      <c r="AG15" s="610"/>
      <c r="AH15" s="15"/>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1:56" x14ac:dyDescent="0.25">
      <c r="A16" s="74">
        <v>9257029</v>
      </c>
      <c r="B16" s="67" t="s">
        <v>278</v>
      </c>
      <c r="C16" s="121" t="s">
        <v>452</v>
      </c>
      <c r="D16" s="523">
        <f>VLOOKUP(A16,'2425 Band Moderations'!$B$5:$S$21,6,(FALSE))</f>
        <v>0</v>
      </c>
      <c r="E16" s="523">
        <f>VLOOKUP(A16,'2425 Band Moderations'!$B$5:$S$21,8,(FALSE))</f>
        <v>0</v>
      </c>
      <c r="F16" s="523">
        <f>VLOOKUP(A16,'2425 Band Moderations'!$B$5:$S$21,10,(FALSE))</f>
        <v>1</v>
      </c>
      <c r="G16" s="523">
        <f>VLOOKUP(A16,'2425 Band Moderations'!$B$5:$S$21,12,(FALSE))</f>
        <v>0</v>
      </c>
      <c r="H16" s="523">
        <f>VLOOKUP(A16,'2425 Band Moderations'!$B$5:$S$21,14,(FALSE))</f>
        <v>0</v>
      </c>
      <c r="I16" s="523">
        <f>VLOOKUP(A16,'2425 Band Moderations'!$B$5:$S$21,16,(FALSE))</f>
        <v>0</v>
      </c>
      <c r="J16" s="523">
        <f>VLOOKUP(A16,'2425 Band Moderations'!$B$5:$S$21,18,(FALSE))</f>
        <v>0</v>
      </c>
      <c r="K16" s="162">
        <v>79</v>
      </c>
      <c r="L16" s="524">
        <f t="shared" si="0"/>
        <v>527818.75</v>
      </c>
      <c r="M16" s="524">
        <v>0</v>
      </c>
      <c r="N16" s="524">
        <f t="shared" si="1"/>
        <v>527818.75</v>
      </c>
      <c r="O16" s="525">
        <f t="shared" si="2"/>
        <v>329166.66666666669</v>
      </c>
      <c r="P16" s="525">
        <f>(VLOOKUP(A16,'2425 Funding Detail'!$A$4:$AA$20,24,FALSE)*5/12)*K16</f>
        <v>424993.36093911243</v>
      </c>
      <c r="Q16" s="65"/>
      <c r="R16" s="65">
        <f t="shared" si="3"/>
        <v>0</v>
      </c>
      <c r="S16" s="63"/>
      <c r="T16" s="619"/>
      <c r="U16" s="619"/>
      <c r="V16" s="610"/>
      <c r="W16" s="610"/>
      <c r="X16" s="610"/>
      <c r="Y16" s="610"/>
      <c r="Z16" s="610"/>
      <c r="AA16" s="610"/>
      <c r="AB16" s="610"/>
      <c r="AC16" s="610"/>
      <c r="AD16" s="610"/>
      <c r="AE16" s="610"/>
      <c r="AF16" s="610"/>
      <c r="AG16" s="610"/>
      <c r="AH16" s="15"/>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x14ac:dyDescent="0.25">
      <c r="A17" s="74">
        <v>9257032</v>
      </c>
      <c r="B17" s="67" t="s">
        <v>380</v>
      </c>
      <c r="C17" s="121" t="s">
        <v>452</v>
      </c>
      <c r="D17" s="523">
        <f>VLOOKUP(A17,'2425 Band Moderations'!$B$5:$S$21,6,(FALSE))</f>
        <v>0</v>
      </c>
      <c r="E17" s="523">
        <f>VLOOKUP(A17,'2425 Band Moderations'!$B$5:$S$21,8,(FALSE))</f>
        <v>0</v>
      </c>
      <c r="F17" s="523">
        <f>VLOOKUP(A17,'2425 Band Moderations'!$B$5:$S$21,10,(FALSE))</f>
        <v>1</v>
      </c>
      <c r="G17" s="523">
        <f>VLOOKUP(A17,'2425 Band Moderations'!$B$5:$S$21,12,(FALSE))</f>
        <v>0</v>
      </c>
      <c r="H17" s="523">
        <f>VLOOKUP(A17,'2425 Band Moderations'!$B$5:$S$21,14,(FALSE))</f>
        <v>0</v>
      </c>
      <c r="I17" s="523">
        <f>VLOOKUP(A17,'2425 Band Moderations'!$B$5:$S$21,16,(FALSE))</f>
        <v>0</v>
      </c>
      <c r="J17" s="523">
        <f>VLOOKUP(A17,'2425 Band Moderations'!$B$5:$S$21,18,(FALSE))</f>
        <v>0</v>
      </c>
      <c r="K17" s="162">
        <v>115</v>
      </c>
      <c r="L17" s="524">
        <f t="shared" si="0"/>
        <v>768343.75</v>
      </c>
      <c r="M17" s="524">
        <v>0</v>
      </c>
      <c r="N17" s="524">
        <f t="shared" si="1"/>
        <v>768343.75</v>
      </c>
      <c r="O17" s="525">
        <f t="shared" si="2"/>
        <v>479166.66666666669</v>
      </c>
      <c r="P17" s="525">
        <f>(VLOOKUP(A17,'2425 Funding Detail'!$A$4:$AA$20,24,FALSE)*5/12)*K17</f>
        <v>508383.99999999994</v>
      </c>
      <c r="Q17" s="65"/>
      <c r="R17" s="65">
        <f t="shared" si="3"/>
        <v>0</v>
      </c>
      <c r="S17" s="88"/>
      <c r="T17" s="619"/>
      <c r="U17" s="619"/>
      <c r="V17" s="610"/>
      <c r="W17" s="610"/>
      <c r="X17" s="610"/>
      <c r="Y17" s="610"/>
      <c r="Z17" s="610"/>
      <c r="AA17" s="610"/>
      <c r="AB17" s="610"/>
      <c r="AC17" s="610"/>
      <c r="AD17" s="610"/>
      <c r="AE17" s="610"/>
      <c r="AF17" s="610"/>
      <c r="AG17" s="610"/>
      <c r="AH17" s="15"/>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x14ac:dyDescent="0.25">
      <c r="A18" s="74">
        <v>9257030</v>
      </c>
      <c r="B18" s="67" t="s">
        <v>383</v>
      </c>
      <c r="C18" s="121" t="s">
        <v>452</v>
      </c>
      <c r="D18" s="523">
        <f>VLOOKUP(A18,'2425 Band Moderations'!$B$5:$S$21,6,(FALSE))</f>
        <v>0</v>
      </c>
      <c r="E18" s="523">
        <f>VLOOKUP(A18,'2425 Band Moderations'!$B$5:$S$21,8,(FALSE))</f>
        <v>0</v>
      </c>
      <c r="F18" s="523">
        <f>VLOOKUP(A18,'2425 Band Moderations'!$B$5:$S$21,10,(FALSE))</f>
        <v>1</v>
      </c>
      <c r="G18" s="523">
        <f>VLOOKUP(A18,'2425 Band Moderations'!$B$5:$S$21,12,(FALSE))</f>
        <v>0</v>
      </c>
      <c r="H18" s="523">
        <f>VLOOKUP(A18,'2425 Band Moderations'!$B$5:$S$21,14,(FALSE))</f>
        <v>0</v>
      </c>
      <c r="I18" s="523">
        <f>VLOOKUP(A18,'2425 Band Moderations'!$B$5:$S$21,16,(FALSE))</f>
        <v>0</v>
      </c>
      <c r="J18" s="523">
        <f>VLOOKUP(A18,'2425 Band Moderations'!$B$5:$S$21,18,(FALSE))</f>
        <v>0</v>
      </c>
      <c r="K18" s="162">
        <v>70</v>
      </c>
      <c r="L18" s="524">
        <f t="shared" si="0"/>
        <v>467687.5</v>
      </c>
      <c r="M18" s="524">
        <v>0</v>
      </c>
      <c r="N18" s="524">
        <f t="shared" si="1"/>
        <v>467687.5</v>
      </c>
      <c r="O18" s="525">
        <f t="shared" si="2"/>
        <v>291666.66666666669</v>
      </c>
      <c r="P18" s="525">
        <f>(VLOOKUP(A18,'2425 Funding Detail'!$A$4:$AA$20,24,FALSE)*5/12)*K18</f>
        <v>383622.18253968249</v>
      </c>
      <c r="Q18" s="65"/>
      <c r="R18" s="65">
        <f t="shared" si="3"/>
        <v>0</v>
      </c>
      <c r="S18" s="88"/>
      <c r="T18" s="619"/>
      <c r="U18" s="619"/>
      <c r="V18" s="610"/>
      <c r="W18" s="610"/>
      <c r="X18" s="610"/>
      <c r="Y18" s="610"/>
      <c r="Z18" s="610"/>
      <c r="AA18" s="610"/>
      <c r="AB18" s="610"/>
      <c r="AC18" s="610"/>
      <c r="AD18" s="610"/>
      <c r="AE18" s="610"/>
      <c r="AF18" s="610"/>
      <c r="AG18" s="610"/>
      <c r="AH18" s="15"/>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x14ac:dyDescent="0.25">
      <c r="A19" s="74">
        <v>9257028</v>
      </c>
      <c r="B19" s="67" t="s">
        <v>70</v>
      </c>
      <c r="C19" s="121">
        <v>5</v>
      </c>
      <c r="D19" s="523">
        <f>VLOOKUP(A19,'2425 Band Moderations'!$B$5:$S$21,6,(FALSE))</f>
        <v>4.6511627906976744E-2</v>
      </c>
      <c r="E19" s="523">
        <f>VLOOKUP(A19,'2425 Band Moderations'!$B$5:$S$21,8,(FALSE))</f>
        <v>0.37984496124031009</v>
      </c>
      <c r="F19" s="523">
        <f>VLOOKUP(A19,'2425 Band Moderations'!$B$5:$S$21,10,(FALSE))</f>
        <v>5.4263565891472867E-2</v>
      </c>
      <c r="G19" s="523">
        <f>VLOOKUP(A19,'2425 Band Moderations'!$B$5:$S$21,12,(FALSE))</f>
        <v>0.16279069767441862</v>
      </c>
      <c r="H19" s="523">
        <f>VLOOKUP(A19,'2425 Band Moderations'!$B$5:$S$21,14,(FALSE))</f>
        <v>6.2015503875968991E-2</v>
      </c>
      <c r="I19" s="523">
        <f>VLOOKUP(A19,'2425 Band Moderations'!$B$5:$S$21,16,(FALSE))</f>
        <v>0.13953488372093023</v>
      </c>
      <c r="J19" s="523">
        <f>VLOOKUP(A19,'2425 Band Moderations'!$B$5:$S$21,18,(FALSE))</f>
        <v>0.15503875968992248</v>
      </c>
      <c r="K19" s="162">
        <v>130</v>
      </c>
      <c r="L19" s="524">
        <f t="shared" si="0"/>
        <v>777998.35271317826</v>
      </c>
      <c r="M19" s="524">
        <v>0</v>
      </c>
      <c r="N19" s="524">
        <f t="shared" si="1"/>
        <v>777998.35271317826</v>
      </c>
      <c r="O19" s="525">
        <f t="shared" si="2"/>
        <v>541666.66666666674</v>
      </c>
      <c r="P19" s="525">
        <f>(VLOOKUP(A19,'2425 Funding Detail'!$A$4:$AA$20,24,FALSE)*5/12)*K19</f>
        <v>539890.19212641893</v>
      </c>
      <c r="Q19" s="65"/>
      <c r="R19" s="65">
        <f t="shared" si="3"/>
        <v>218413.43669250645</v>
      </c>
      <c r="S19" s="88"/>
      <c r="T19" s="619"/>
      <c r="U19" s="619"/>
      <c r="V19" s="610"/>
      <c r="W19" s="610"/>
      <c r="X19" s="610"/>
      <c r="Y19" s="610"/>
      <c r="Z19" s="610"/>
      <c r="AA19" s="610"/>
      <c r="AB19" s="610"/>
      <c r="AC19" s="610"/>
      <c r="AD19" s="610"/>
      <c r="AE19" s="610"/>
      <c r="AF19" s="610"/>
      <c r="AG19" s="610"/>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x14ac:dyDescent="0.25">
      <c r="A20" s="74">
        <v>9257021</v>
      </c>
      <c r="B20" s="67" t="s">
        <v>71</v>
      </c>
      <c r="C20" s="121" t="s">
        <v>453</v>
      </c>
      <c r="D20" s="523">
        <f>VLOOKUP(A20,'2425 Band Moderations'!$B$5:$S$21,6,(FALSE))</f>
        <v>0.21264367816091953</v>
      </c>
      <c r="E20" s="523">
        <f>VLOOKUP(A20,'2425 Band Moderations'!$B$5:$S$21,8,(FALSE))</f>
        <v>0.52298850574712641</v>
      </c>
      <c r="F20" s="523">
        <f>VLOOKUP(A20,'2425 Band Moderations'!$B$5:$S$21,10,(FALSE))</f>
        <v>0.13218390804597702</v>
      </c>
      <c r="G20" s="523">
        <f>VLOOKUP(A20,'2425 Band Moderations'!$B$5:$S$21,12,(FALSE))</f>
        <v>6.8965517241379309E-2</v>
      </c>
      <c r="H20" s="523">
        <f>VLOOKUP(A20,'2425 Band Moderations'!$B$5:$S$21,14,(FALSE))</f>
        <v>2.2988505747126436E-2</v>
      </c>
      <c r="I20" s="523">
        <f>VLOOKUP(A20,'2425 Band Moderations'!$B$5:$S$21,16,(FALSE))</f>
        <v>2.8735632183908046E-2</v>
      </c>
      <c r="J20" s="523">
        <f>VLOOKUP(A20,'2425 Band Moderations'!$B$5:$S$21,18,(FALSE))</f>
        <v>1.1494252873563218E-2</v>
      </c>
      <c r="K20" s="162">
        <v>179</v>
      </c>
      <c r="L20" s="524">
        <f t="shared" si="0"/>
        <v>748728.79549808428</v>
      </c>
      <c r="M20" s="524">
        <v>0</v>
      </c>
      <c r="N20" s="524">
        <f t="shared" si="1"/>
        <v>748728.79549808428</v>
      </c>
      <c r="O20" s="525">
        <f t="shared" si="2"/>
        <v>745833.33333333337</v>
      </c>
      <c r="P20" s="525">
        <f>(VLOOKUP(A20,'2425 Funding Detail'!$A$4:$AA$20,24,FALSE)*5/12)*K20</f>
        <v>310376.92759398511</v>
      </c>
      <c r="Q20" s="65"/>
      <c r="R20" s="65">
        <f t="shared" si="3"/>
        <v>22296.130268199235</v>
      </c>
      <c r="S20" s="88"/>
      <c r="T20" s="619"/>
      <c r="U20" s="619"/>
      <c r="V20" s="610"/>
      <c r="W20" s="610"/>
      <c r="X20" s="610"/>
      <c r="Y20" s="610"/>
      <c r="Z20" s="610"/>
      <c r="AA20" s="610"/>
      <c r="AB20" s="610"/>
      <c r="AC20" s="610"/>
      <c r="AD20" s="610"/>
      <c r="AE20" s="610"/>
      <c r="AF20" s="610"/>
      <c r="AG20" s="610"/>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x14ac:dyDescent="0.25">
      <c r="A21" s="74">
        <v>9257015</v>
      </c>
      <c r="B21" s="67" t="s">
        <v>72</v>
      </c>
      <c r="C21" s="121" t="s">
        <v>454</v>
      </c>
      <c r="D21" s="523">
        <f>VLOOKUP(A21,'2425 Band Moderations'!$B$5:$S$21,6,(FALSE))</f>
        <v>0.21982758620689655</v>
      </c>
      <c r="E21" s="523">
        <f>VLOOKUP(A21,'2425 Band Moderations'!$B$5:$S$21,8,(FALSE))</f>
        <v>0.44827586206896552</v>
      </c>
      <c r="F21" s="523">
        <f>VLOOKUP(A21,'2425 Band Moderations'!$B$5:$S$21,10,(FALSE))</f>
        <v>1.2931034482758621E-2</v>
      </c>
      <c r="G21" s="523">
        <f>VLOOKUP(A21,'2425 Band Moderations'!$B$5:$S$21,12,(FALSE))</f>
        <v>9.4827586206896547E-2</v>
      </c>
      <c r="H21" s="523">
        <f>VLOOKUP(A21,'2425 Band Moderations'!$B$5:$S$21,14,(FALSE))</f>
        <v>3.4482758620689655E-2</v>
      </c>
      <c r="I21" s="523">
        <f>VLOOKUP(A21,'2425 Band Moderations'!$B$5:$S$21,16,(FALSE))</f>
        <v>0.16379310344827586</v>
      </c>
      <c r="J21" s="523">
        <f>VLOOKUP(A21,'2425 Band Moderations'!$B$5:$S$21,18,(FALSE))</f>
        <v>2.5862068965517241E-2</v>
      </c>
      <c r="K21" s="162">
        <v>217</v>
      </c>
      <c r="L21" s="524">
        <f t="shared" si="0"/>
        <v>986538.58836206887</v>
      </c>
      <c r="M21" s="524">
        <v>0</v>
      </c>
      <c r="N21" s="524">
        <f t="shared" si="1"/>
        <v>986538.58836206887</v>
      </c>
      <c r="O21" s="525">
        <f t="shared" si="2"/>
        <v>904166.66666666674</v>
      </c>
      <c r="P21" s="525">
        <f>(VLOOKUP(A21,'2425 Funding Detail'!$A$4:$AA$20,24,FALSE)*5/12)*K21</f>
        <v>388251.77569144836</v>
      </c>
      <c r="Q21" s="65"/>
      <c r="R21" s="65">
        <f t="shared" si="3"/>
        <v>60816.120689655167</v>
      </c>
      <c r="S21" s="88"/>
      <c r="T21" s="619"/>
      <c r="U21" s="619"/>
      <c r="V21" s="610"/>
      <c r="W21" s="610"/>
      <c r="X21" s="610"/>
      <c r="Y21" s="610"/>
      <c r="Z21" s="610"/>
      <c r="AA21" s="610"/>
      <c r="AB21" s="610"/>
      <c r="AC21" s="610"/>
      <c r="AD21" s="610"/>
      <c r="AE21" s="610"/>
      <c r="AF21" s="610"/>
      <c r="AG21" s="610"/>
      <c r="AH21" s="15"/>
      <c r="AI21" s="15"/>
      <c r="AJ21" s="15"/>
      <c r="AK21" s="15"/>
      <c r="AL21" s="15"/>
      <c r="AM21" s="15"/>
      <c r="AN21" s="15"/>
      <c r="AO21" s="15"/>
      <c r="AP21" s="15"/>
      <c r="AQ21" s="15"/>
      <c r="AR21" s="15"/>
      <c r="AS21" s="15"/>
      <c r="AT21" s="15"/>
      <c r="AU21" s="15"/>
      <c r="AV21" s="15"/>
      <c r="AW21" s="15"/>
      <c r="AX21" s="15"/>
      <c r="AY21" s="15"/>
      <c r="AZ21" s="15"/>
      <c r="BA21" s="15"/>
      <c r="BB21" s="15"/>
      <c r="BC21" s="15"/>
      <c r="BD21" s="15"/>
    </row>
    <row r="22" spans="1:56" x14ac:dyDescent="0.25">
      <c r="A22" s="74">
        <v>9257016</v>
      </c>
      <c r="B22" s="67" t="s">
        <v>73</v>
      </c>
      <c r="C22" s="121" t="s">
        <v>454</v>
      </c>
      <c r="D22" s="523">
        <f>VLOOKUP(A22,'2425 Band Moderations'!$B$5:$S$21,6,(FALSE))</f>
        <v>0.12179487179487179</v>
      </c>
      <c r="E22" s="523">
        <f>VLOOKUP(A22,'2425 Band Moderations'!$B$5:$S$21,8,(FALSE))</f>
        <v>0.22435897435897437</v>
      </c>
      <c r="F22" s="523">
        <f>VLOOKUP(A22,'2425 Band Moderations'!$B$5:$S$21,10,(FALSE))</f>
        <v>1.282051282051282E-2</v>
      </c>
      <c r="G22" s="523">
        <f>VLOOKUP(A22,'2425 Band Moderations'!$B$5:$S$21,12,(FALSE))</f>
        <v>0.23717948717948717</v>
      </c>
      <c r="H22" s="523">
        <f>VLOOKUP(A22,'2425 Band Moderations'!$B$5:$S$21,14,(FALSE))</f>
        <v>0.17307692307692307</v>
      </c>
      <c r="I22" s="523">
        <f>VLOOKUP(A22,'2425 Band Moderations'!$B$5:$S$21,16,(FALSE))</f>
        <v>1.282051282051282E-2</v>
      </c>
      <c r="J22" s="523">
        <f>VLOOKUP(A22,'2425 Band Moderations'!$B$5:$S$21,18,(FALSE))</f>
        <v>0.21794871794871795</v>
      </c>
      <c r="K22" s="162">
        <v>114</v>
      </c>
      <c r="L22" s="524">
        <f t="shared" si="0"/>
        <v>733198.733974359</v>
      </c>
      <c r="M22" s="524">
        <v>0</v>
      </c>
      <c r="N22" s="524">
        <f t="shared" si="1"/>
        <v>733198.733974359</v>
      </c>
      <c r="O22" s="525">
        <f t="shared" si="2"/>
        <v>475000</v>
      </c>
      <c r="P22" s="525">
        <f>(VLOOKUP(A22,'2425 Funding Detail'!$A$4:$AA$20,24,FALSE)*5/12)*K22</f>
        <v>506472.88898955664</v>
      </c>
      <c r="Q22" s="107" t="s">
        <v>62</v>
      </c>
      <c r="R22" s="65">
        <f t="shared" si="3"/>
        <v>269249.48717948719</v>
      </c>
      <c r="S22" s="88"/>
      <c r="T22" s="619"/>
      <c r="U22" s="619"/>
      <c r="V22" s="610"/>
      <c r="W22" s="610"/>
      <c r="X22" s="610"/>
      <c r="Y22" s="610"/>
      <c r="Z22" s="610"/>
      <c r="AA22" s="610"/>
      <c r="AB22" s="610"/>
      <c r="AC22" s="610"/>
      <c r="AD22" s="610"/>
      <c r="AE22" s="610"/>
      <c r="AF22" s="610"/>
      <c r="AG22" s="610"/>
      <c r="AH22" s="15"/>
      <c r="AI22" s="15"/>
      <c r="AJ22" s="15"/>
      <c r="AK22" s="15"/>
      <c r="AL22" s="15"/>
      <c r="AM22" s="15"/>
      <c r="AN22" s="15"/>
      <c r="AO22" s="15"/>
      <c r="AP22" s="15"/>
      <c r="AQ22" s="15"/>
      <c r="AR22" s="15"/>
      <c r="AS22" s="15"/>
      <c r="AT22" s="15"/>
      <c r="AU22" s="15"/>
      <c r="AV22" s="15"/>
      <c r="AW22" s="15"/>
      <c r="AX22" s="15"/>
      <c r="AY22" s="15"/>
      <c r="AZ22" s="15"/>
      <c r="BA22" s="15"/>
      <c r="BB22" s="15"/>
      <c r="BC22" s="15"/>
      <c r="BD22" s="15"/>
    </row>
    <row r="23" spans="1:56" x14ac:dyDescent="0.25">
      <c r="A23" s="78"/>
      <c r="B23" s="15"/>
      <c r="C23" s="64"/>
      <c r="D23" s="87"/>
      <c r="E23" s="87"/>
      <c r="F23" s="15"/>
      <c r="G23" s="87"/>
      <c r="H23" s="87"/>
      <c r="I23" s="87"/>
      <c r="J23" s="87"/>
      <c r="K23" s="87"/>
      <c r="L23" s="88"/>
      <c r="M23" s="15"/>
      <c r="N23" s="65"/>
      <c r="O23" s="65"/>
      <c r="P23" s="65"/>
      <c r="Q23" s="107" t="s">
        <v>62</v>
      </c>
      <c r="R23" s="88"/>
      <c r="S23" s="88"/>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row>
    <row r="24" spans="1:56" ht="13" x14ac:dyDescent="0.3">
      <c r="A24" s="34" t="s">
        <v>907</v>
      </c>
      <c r="B24" s="15"/>
      <c r="C24" s="64"/>
      <c r="D24" s="87"/>
      <c r="E24" s="87"/>
      <c r="F24" s="87"/>
      <c r="G24" s="87"/>
      <c r="H24" s="87"/>
      <c r="I24" s="87"/>
      <c r="J24" s="87"/>
      <c r="K24" s="88"/>
      <c r="L24" s="88"/>
      <c r="M24" s="107" t="s">
        <v>62</v>
      </c>
      <c r="N24" s="65"/>
      <c r="O24" s="65"/>
      <c r="P24" s="65"/>
      <c r="Q24" s="65"/>
      <c r="R24" s="88"/>
      <c r="S24" s="88"/>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row>
    <row r="25" spans="1:56" x14ac:dyDescent="0.25">
      <c r="A25" s="78"/>
      <c r="B25" s="15"/>
      <c r="C25" s="64"/>
      <c r="D25" s="87"/>
      <c r="E25" s="87"/>
      <c r="F25" s="87"/>
      <c r="G25" s="87"/>
      <c r="H25" s="87"/>
      <c r="I25" s="87"/>
      <c r="J25" s="87"/>
      <c r="K25" s="35" t="s">
        <v>738</v>
      </c>
      <c r="L25" s="88"/>
      <c r="M25" s="88"/>
      <c r="N25" s="65"/>
      <c r="O25" s="1108" t="s">
        <v>77</v>
      </c>
      <c r="P25" s="1109"/>
      <c r="Q25" s="65"/>
      <c r="R25" s="88"/>
      <c r="S25" s="88"/>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row>
    <row r="26" spans="1:56" ht="37.5" x14ac:dyDescent="0.25">
      <c r="A26" s="85" t="s">
        <v>48</v>
      </c>
      <c r="B26" s="67" t="s">
        <v>49</v>
      </c>
      <c r="C26" s="68" t="s">
        <v>50</v>
      </c>
      <c r="D26" s="64" t="s">
        <v>280</v>
      </c>
      <c r="E26" s="64" t="s">
        <v>281</v>
      </c>
      <c r="F26" s="64" t="s">
        <v>282</v>
      </c>
      <c r="G26" s="64" t="s">
        <v>283</v>
      </c>
      <c r="H26" s="64" t="s">
        <v>284</v>
      </c>
      <c r="I26" s="64" t="s">
        <v>285</v>
      </c>
      <c r="J26" s="64" t="s">
        <v>286</v>
      </c>
      <c r="K26" s="73" t="s">
        <v>88</v>
      </c>
      <c r="L26" s="73" t="s">
        <v>89</v>
      </c>
      <c r="M26" s="73" t="s">
        <v>90</v>
      </c>
      <c r="N26" s="73" t="s">
        <v>89</v>
      </c>
      <c r="O26" s="91" t="s">
        <v>91</v>
      </c>
      <c r="P26" s="110" t="s">
        <v>92</v>
      </c>
      <c r="Q26" s="73"/>
      <c r="R26" s="73"/>
      <c r="S26" s="91"/>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row>
    <row r="27" spans="1:56" x14ac:dyDescent="0.25">
      <c r="A27" s="74">
        <v>9257010</v>
      </c>
      <c r="B27" s="67" t="s">
        <v>439</v>
      </c>
      <c r="C27" s="121">
        <v>5</v>
      </c>
      <c r="D27" s="523">
        <f>VLOOKUP(A27,'2425 Band Moderations'!$B$5:$S$21,6,(FALSE))</f>
        <v>8.9041095890410954E-2</v>
      </c>
      <c r="E27" s="523">
        <f>VLOOKUP(A27,'2425 Band Moderations'!$B$5:$S$21,8,(FALSE))</f>
        <v>0.39726027397260272</v>
      </c>
      <c r="F27" s="523">
        <f>VLOOKUP(A27,'2425 Band Moderations'!$B$5:$S$21,10,(FALSE))</f>
        <v>4.7945205479452052E-2</v>
      </c>
      <c r="G27" s="523">
        <f>VLOOKUP(A27,'2425 Band Moderations'!$B$5:$S$21,12,(FALSE))</f>
        <v>0.21232876712328766</v>
      </c>
      <c r="H27" s="523">
        <f>VLOOKUP(A27,'2425 Band Moderations'!$B$5:$S$21,14,(FALSE))</f>
        <v>5.4794520547945202E-2</v>
      </c>
      <c r="I27" s="523">
        <f>VLOOKUP(A27,'2425 Band Moderations'!$B$5:$S$21,16,(FALSE))</f>
        <v>9.5890410958904104E-2</v>
      </c>
      <c r="J27" s="523">
        <f>VLOOKUP(A27,'2425 Band Moderations'!$B$5:$S$21,18,(FALSE))</f>
        <v>0.10273972602739725</v>
      </c>
      <c r="K27" s="162">
        <v>25</v>
      </c>
      <c r="L27" s="524">
        <f>((((K27*D27)*$G$88)+((K27*E27)*$G$90)+((K27*F27)*$G$92)+((K27*G27)*$G$94)+((K27*H27)*$G$96)+((K27*I27)*$G$98)+((K27*J27)*$G$100))*(4/12))</f>
        <v>110518.4931506849</v>
      </c>
      <c r="M27" s="524">
        <v>0</v>
      </c>
      <c r="N27" s="524">
        <f>SUM(L27:M27)</f>
        <v>110518.4931506849</v>
      </c>
      <c r="O27" s="525">
        <f>(K27*(4/12))*10000</f>
        <v>83333.333333333328</v>
      </c>
      <c r="P27" s="525">
        <f>(VLOOKUP(A27,'2425 Funding Detail'!$A$4:$AA$20,24,FALSE)*4/12)*K27</f>
        <v>70872.284044712374</v>
      </c>
      <c r="Q27" s="65"/>
      <c r="R27" s="65">
        <f t="shared" ref="R27:R43" si="4">(J27*K27*$G$100)*4/12</f>
        <v>22267.123287671231</v>
      </c>
      <c r="S27" s="88"/>
      <c r="T27" s="65"/>
      <c r="U27" s="65"/>
      <c r="V27" s="105"/>
      <c r="W27" s="104"/>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row>
    <row r="28" spans="1:56" x14ac:dyDescent="0.25">
      <c r="A28" s="74">
        <v>9257005</v>
      </c>
      <c r="B28" s="67" t="s">
        <v>63</v>
      </c>
      <c r="C28" s="121">
        <v>4</v>
      </c>
      <c r="D28" s="523">
        <f>VLOOKUP(A28,'2425 Band Moderations'!$B$5:$S$21,6,(FALSE))</f>
        <v>5.6338028169014086E-2</v>
      </c>
      <c r="E28" s="523">
        <f>VLOOKUP(A28,'2425 Band Moderations'!$B$5:$S$21,8,(FALSE))</f>
        <v>0.18309859154929578</v>
      </c>
      <c r="F28" s="523">
        <f>VLOOKUP(A28,'2425 Band Moderations'!$B$5:$S$21,10,(FALSE))</f>
        <v>0.11267605633802817</v>
      </c>
      <c r="G28" s="523">
        <f>VLOOKUP(A28,'2425 Band Moderations'!$B$5:$S$21,12,(FALSE))</f>
        <v>0.18309859154929578</v>
      </c>
      <c r="H28" s="523">
        <f>VLOOKUP(A28,'2425 Band Moderations'!$B$5:$S$21,14,(FALSE))</f>
        <v>0.12676056338028169</v>
      </c>
      <c r="I28" s="523">
        <f>VLOOKUP(A28,'2425 Band Moderations'!$B$5:$S$21,16,(FALSE))</f>
        <v>0.21126760563380281</v>
      </c>
      <c r="J28" s="523">
        <f>VLOOKUP(A28,'2425 Band Moderations'!$B$5:$S$21,18,(FALSE))</f>
        <v>0.12676056338028169</v>
      </c>
      <c r="K28" s="162">
        <v>20</v>
      </c>
      <c r="L28" s="524">
        <f t="shared" ref="L28:L43" si="5">((((K28*D28)*$G$88)+((K28*E28)*$G$90)+((K28*F28)*$G$92)+((K28*G28)*$G$94)+((K28*H28)*$G$96)+((K28*I28)*$G$98)+((K28*J28)*$G$100))*(4/12))</f>
        <v>104654.55399061032</v>
      </c>
      <c r="M28" s="524">
        <v>0</v>
      </c>
      <c r="N28" s="524">
        <f>SUM(L28:M28)</f>
        <v>104654.55399061032</v>
      </c>
      <c r="O28" s="525">
        <f>(K28*(4/12))*10000</f>
        <v>66666.666666666657</v>
      </c>
      <c r="P28" s="525">
        <f>(VLOOKUP(A28,'2425 Funding Detail'!$A$4:$AA$20,24,FALSE)*4/12)*K28</f>
        <v>92147.51687190395</v>
      </c>
      <c r="Q28" s="65"/>
      <c r="R28" s="65">
        <f t="shared" si="4"/>
        <v>21978.591549295776</v>
      </c>
      <c r="S28" s="88"/>
      <c r="T28" s="65"/>
      <c r="U28" s="65"/>
      <c r="V28" s="6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row>
    <row r="29" spans="1:56" x14ac:dyDescent="0.25">
      <c r="A29" s="74">
        <v>9257025</v>
      </c>
      <c r="B29" s="67" t="s">
        <v>64</v>
      </c>
      <c r="C29" s="121">
        <v>4</v>
      </c>
      <c r="D29" s="523">
        <f>VLOOKUP(A29,'2425 Band Moderations'!$B$5:$S$21,6,(FALSE))</f>
        <v>8.3333333333333329E-2</v>
      </c>
      <c r="E29" s="523">
        <f>VLOOKUP(A29,'2425 Band Moderations'!$B$5:$S$21,8,(FALSE))</f>
        <v>0.64583333333333337</v>
      </c>
      <c r="F29" s="523">
        <f>VLOOKUP(A29,'2425 Band Moderations'!$B$5:$S$21,10,(FALSE))</f>
        <v>4.1666666666666664E-2</v>
      </c>
      <c r="G29" s="523">
        <f>VLOOKUP(A29,'2425 Band Moderations'!$B$5:$S$21,12,(FALSE))</f>
        <v>0.125</v>
      </c>
      <c r="H29" s="523">
        <f>VLOOKUP(A29,'2425 Band Moderations'!$B$5:$S$21,14,(FALSE))</f>
        <v>0</v>
      </c>
      <c r="I29" s="523">
        <f>VLOOKUP(A29,'2425 Band Moderations'!$B$5:$S$21,16,(FALSE))</f>
        <v>7.2916666666666671E-2</v>
      </c>
      <c r="J29" s="523">
        <f>VLOOKUP(A29,'2425 Band Moderations'!$B$5:$S$21,18,(FALSE))</f>
        <v>3.125E-2</v>
      </c>
      <c r="K29" s="162">
        <v>24</v>
      </c>
      <c r="L29" s="524">
        <f t="shared" si="5"/>
        <v>84179.25</v>
      </c>
      <c r="M29" s="524">
        <v>0</v>
      </c>
      <c r="N29" s="524">
        <f t="shared" ref="N29:N43" si="6">SUM(L29:M29)</f>
        <v>84179.25</v>
      </c>
      <c r="O29" s="525">
        <f t="shared" ref="O29:O43" si="7">(K29*(4/12))*10000</f>
        <v>80000</v>
      </c>
      <c r="P29" s="525">
        <f>(VLOOKUP(A29,'2425 Funding Detail'!$A$4:$AA$20,24,FALSE)*4/12)*K29</f>
        <v>51428.643352315761</v>
      </c>
      <c r="Q29" s="65"/>
      <c r="R29" s="65">
        <f t="shared" si="4"/>
        <v>6502</v>
      </c>
      <c r="S29" s="88"/>
      <c r="T29" s="65"/>
      <c r="U29" s="65"/>
      <c r="V29" s="6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1:56" x14ac:dyDescent="0.25">
      <c r="A30" s="74">
        <v>9257024</v>
      </c>
      <c r="B30" s="67" t="s">
        <v>66</v>
      </c>
      <c r="C30" s="121">
        <v>4</v>
      </c>
      <c r="D30" s="523">
        <f>VLOOKUP(A30,'2425 Band Moderations'!$B$5:$S$21,6,(FALSE))</f>
        <v>0.10526315789473684</v>
      </c>
      <c r="E30" s="523">
        <f>VLOOKUP(A30,'2425 Band Moderations'!$B$5:$S$21,8,(FALSE))</f>
        <v>0.56842105263157894</v>
      </c>
      <c r="F30" s="523">
        <f>VLOOKUP(A30,'2425 Band Moderations'!$B$5:$S$21,10,(FALSE))</f>
        <v>2.1052631578947368E-2</v>
      </c>
      <c r="G30" s="523">
        <f>VLOOKUP(A30,'2425 Band Moderations'!$B$5:$S$21,12,(FALSE))</f>
        <v>0.14736842105263157</v>
      </c>
      <c r="H30" s="523">
        <f>VLOOKUP(A30,'2425 Band Moderations'!$B$5:$S$21,14,(FALSE))</f>
        <v>6.3157894736842107E-2</v>
      </c>
      <c r="I30" s="523">
        <f>VLOOKUP(A30,'2425 Band Moderations'!$B$5:$S$21,16,(FALSE))</f>
        <v>4.2105263157894736E-2</v>
      </c>
      <c r="J30" s="523">
        <f>VLOOKUP(A30,'2425 Band Moderations'!$B$5:$S$21,18,(FALSE))</f>
        <v>5.2631578947368418E-2</v>
      </c>
      <c r="K30" s="162">
        <v>16</v>
      </c>
      <c r="L30" s="524">
        <f t="shared" si="5"/>
        <v>59429.501754385958</v>
      </c>
      <c r="M30" s="524">
        <v>0</v>
      </c>
      <c r="N30" s="524">
        <f t="shared" si="6"/>
        <v>59429.501754385958</v>
      </c>
      <c r="O30" s="525">
        <f t="shared" si="7"/>
        <v>53333.333333333328</v>
      </c>
      <c r="P30" s="525">
        <f>(VLOOKUP(A30,'2425 Funding Detail'!$A$4:$AA$20,24,FALSE)*4/12)*K30</f>
        <v>37353.640553442528</v>
      </c>
      <c r="Q30" s="65"/>
      <c r="R30" s="65">
        <f t="shared" si="4"/>
        <v>7300.4912280701756</v>
      </c>
      <c r="S30" s="88"/>
      <c r="T30" s="65"/>
      <c r="U30" s="65"/>
      <c r="V30" s="6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1:56" x14ac:dyDescent="0.25">
      <c r="A31" s="74">
        <v>9257031</v>
      </c>
      <c r="B31" s="67" t="s">
        <v>84</v>
      </c>
      <c r="C31" s="121">
        <v>5</v>
      </c>
      <c r="D31" s="523">
        <f>VLOOKUP(A31,'2425 Band Moderations'!$B$5:$S$21,6,(FALSE))</f>
        <v>0</v>
      </c>
      <c r="E31" s="523">
        <f>VLOOKUP(A31,'2425 Band Moderations'!$B$5:$S$21,8,(FALSE))</f>
        <v>0</v>
      </c>
      <c r="F31" s="523">
        <f>VLOOKUP(A31,'2425 Band Moderations'!$B$5:$S$21,10,(FALSE))</f>
        <v>1</v>
      </c>
      <c r="G31" s="523">
        <f>VLOOKUP(A31,'2425 Band Moderations'!$B$5:$S$21,12,(FALSE))</f>
        <v>0</v>
      </c>
      <c r="H31" s="523">
        <f>VLOOKUP(A31,'2425 Band Moderations'!$B$5:$S$21,14,(FALSE))</f>
        <v>0</v>
      </c>
      <c r="I31" s="523">
        <f>VLOOKUP(A31,'2425 Band Moderations'!$B$5:$S$21,16,(FALSE))</f>
        <v>0</v>
      </c>
      <c r="J31" s="523">
        <f>VLOOKUP(A31,'2425 Band Moderations'!$B$5:$S$21,18,(FALSE))</f>
        <v>0</v>
      </c>
      <c r="K31" s="162">
        <v>0</v>
      </c>
      <c r="L31" s="524">
        <f t="shared" si="5"/>
        <v>0</v>
      </c>
      <c r="M31" s="524">
        <v>0</v>
      </c>
      <c r="N31" s="524">
        <f t="shared" si="6"/>
        <v>0</v>
      </c>
      <c r="O31" s="525">
        <f t="shared" si="7"/>
        <v>0</v>
      </c>
      <c r="P31" s="525">
        <f>(VLOOKUP(A31,'2425 Funding Detail'!$A$4:$AA$20,24,FALSE)*4/12)*K31</f>
        <v>0</v>
      </c>
      <c r="Q31" s="65"/>
      <c r="R31" s="65">
        <f t="shared" si="4"/>
        <v>0</v>
      </c>
      <c r="S31" s="88"/>
      <c r="T31" s="65"/>
      <c r="U31" s="65"/>
      <c r="V31" s="6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1:56" x14ac:dyDescent="0.25">
      <c r="A32" s="74">
        <v>9257033</v>
      </c>
      <c r="B32" s="67" t="s">
        <v>74</v>
      </c>
      <c r="C32" s="121" t="s">
        <v>451</v>
      </c>
      <c r="D32" s="523">
        <f>VLOOKUP(A32,'2425 Band Moderations'!$B$5:$S$21,6,(FALSE))</f>
        <v>0.12389380530973451</v>
      </c>
      <c r="E32" s="523">
        <f>VLOOKUP(A32,'2425 Band Moderations'!$B$5:$S$21,8,(FALSE))</f>
        <v>0.68141592920353977</v>
      </c>
      <c r="F32" s="523">
        <f>VLOOKUP(A32,'2425 Band Moderations'!$B$5:$S$21,10,(FALSE))</f>
        <v>1.7699115044247787E-2</v>
      </c>
      <c r="G32" s="523">
        <f>VLOOKUP(A32,'2425 Band Moderations'!$B$5:$S$21,12,(FALSE))</f>
        <v>0.10619469026548672</v>
      </c>
      <c r="H32" s="523">
        <f>VLOOKUP(A32,'2425 Band Moderations'!$B$5:$S$21,14,(FALSE))</f>
        <v>3.5398230088495575E-2</v>
      </c>
      <c r="I32" s="523">
        <f>VLOOKUP(A32,'2425 Band Moderations'!$B$5:$S$21,16,(FALSE))</f>
        <v>8.8495575221238937E-3</v>
      </c>
      <c r="J32" s="523">
        <f>VLOOKUP(A32,'2425 Band Moderations'!$B$5:$S$21,18,(FALSE))</f>
        <v>2.6548672566371681E-2</v>
      </c>
      <c r="K32" s="162">
        <v>0</v>
      </c>
      <c r="L32" s="524">
        <f t="shared" si="5"/>
        <v>0</v>
      </c>
      <c r="M32" s="524">
        <v>0</v>
      </c>
      <c r="N32" s="524">
        <f t="shared" si="6"/>
        <v>0</v>
      </c>
      <c r="O32" s="525">
        <f t="shared" si="7"/>
        <v>0</v>
      </c>
      <c r="P32" s="525">
        <f>(VLOOKUP(A32,'2425 Funding Detail'!$A$4:$AA$20,24,FALSE)*4/12)*K32</f>
        <v>0</v>
      </c>
      <c r="Q32" s="65"/>
      <c r="R32" s="65">
        <f t="shared" si="4"/>
        <v>0</v>
      </c>
      <c r="S32" s="88"/>
      <c r="T32" s="65"/>
      <c r="U32" s="65"/>
      <c r="V32" s="6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1:56" x14ac:dyDescent="0.25">
      <c r="A33" s="74">
        <v>9257008</v>
      </c>
      <c r="B33" s="67" t="s">
        <v>67</v>
      </c>
      <c r="C33" s="121">
        <v>4</v>
      </c>
      <c r="D33" s="523">
        <f>VLOOKUP(A33,'2425 Band Moderations'!$B$5:$S$21,6,(FALSE))</f>
        <v>8.9108910891089105E-2</v>
      </c>
      <c r="E33" s="523">
        <f>VLOOKUP(A33,'2425 Band Moderations'!$B$5:$S$21,8,(FALSE))</f>
        <v>0.64356435643564358</v>
      </c>
      <c r="F33" s="523">
        <f>VLOOKUP(A33,'2425 Band Moderations'!$B$5:$S$21,10,(FALSE))</f>
        <v>4.9504950495049507E-2</v>
      </c>
      <c r="G33" s="523">
        <f>VLOOKUP(A33,'2425 Band Moderations'!$B$5:$S$21,12,(FALSE))</f>
        <v>0.13861386138613863</v>
      </c>
      <c r="H33" s="523">
        <f>VLOOKUP(A33,'2425 Band Moderations'!$B$5:$S$21,14,(FALSE))</f>
        <v>0</v>
      </c>
      <c r="I33" s="523">
        <f>VLOOKUP(A33,'2425 Band Moderations'!$B$5:$S$21,16,(FALSE))</f>
        <v>7.9207920792079209E-2</v>
      </c>
      <c r="J33" s="523">
        <f>VLOOKUP(A33,'2425 Band Moderations'!$B$5:$S$21,18,(FALSE))</f>
        <v>0</v>
      </c>
      <c r="K33" s="162">
        <v>0</v>
      </c>
      <c r="L33" s="524">
        <f t="shared" si="5"/>
        <v>0</v>
      </c>
      <c r="M33" s="524">
        <v>0</v>
      </c>
      <c r="N33" s="524">
        <f t="shared" si="6"/>
        <v>0</v>
      </c>
      <c r="O33" s="525">
        <f t="shared" si="7"/>
        <v>0</v>
      </c>
      <c r="P33" s="525">
        <f>(VLOOKUP(A33,'2425 Funding Detail'!$A$4:$AA$20,24,FALSE)*4/12)*K33</f>
        <v>0</v>
      </c>
      <c r="Q33" s="65"/>
      <c r="R33" s="65">
        <f t="shared" si="4"/>
        <v>0</v>
      </c>
      <c r="S33" s="88"/>
      <c r="T33" s="65"/>
      <c r="U33" s="65"/>
      <c r="V33" s="6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1:56" x14ac:dyDescent="0.25">
      <c r="A34" s="74">
        <v>9257034</v>
      </c>
      <c r="B34" s="67" t="s">
        <v>75</v>
      </c>
      <c r="C34" s="121" t="s">
        <v>451</v>
      </c>
      <c r="D34" s="523">
        <f>VLOOKUP(A34,'2425 Band Moderations'!$B$5:$S$21,6,(FALSE))</f>
        <v>0.37692307692307692</v>
      </c>
      <c r="E34" s="523">
        <f>VLOOKUP(A34,'2425 Band Moderations'!$B$5:$S$21,8,(FALSE))</f>
        <v>0.4</v>
      </c>
      <c r="F34" s="523">
        <f>VLOOKUP(A34,'2425 Band Moderations'!$B$5:$S$21,10,(FALSE))</f>
        <v>7.6923076923076927E-2</v>
      </c>
      <c r="G34" s="523">
        <f>VLOOKUP(A34,'2425 Band Moderations'!$B$5:$S$21,12,(FALSE))</f>
        <v>6.1538461538461542E-2</v>
      </c>
      <c r="H34" s="523">
        <f>VLOOKUP(A34,'2425 Band Moderations'!$B$5:$S$21,14,(FALSE))</f>
        <v>1.5384615384615385E-2</v>
      </c>
      <c r="I34" s="523">
        <f>VLOOKUP(A34,'2425 Band Moderations'!$B$5:$S$21,16,(FALSE))</f>
        <v>5.3846153846153849E-2</v>
      </c>
      <c r="J34" s="523">
        <f>VLOOKUP(A34,'2425 Band Moderations'!$B$5:$S$21,18,(FALSE))</f>
        <v>1.5384615384615385E-2</v>
      </c>
      <c r="K34" s="162">
        <v>26</v>
      </c>
      <c r="L34" s="524">
        <f t="shared" si="5"/>
        <v>82910.8</v>
      </c>
      <c r="M34" s="524">
        <v>0</v>
      </c>
      <c r="N34" s="524">
        <f t="shared" si="6"/>
        <v>82910.8</v>
      </c>
      <c r="O34" s="525">
        <f t="shared" si="7"/>
        <v>86666.666666666657</v>
      </c>
      <c r="P34" s="525">
        <f>(VLOOKUP(A34,'2425 Funding Detail'!$A$4:$AA$20,24,FALSE)*4/12)*K34</f>
        <v>41336.962602877604</v>
      </c>
      <c r="Q34" s="65"/>
      <c r="R34" s="65">
        <f t="shared" si="4"/>
        <v>3467.7333333333336</v>
      </c>
      <c r="S34" s="88"/>
      <c r="T34" s="65"/>
      <c r="U34" s="65"/>
      <c r="V34" s="6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1:56" x14ac:dyDescent="0.25">
      <c r="A35" s="74">
        <v>9257002</v>
      </c>
      <c r="B35" s="67" t="s">
        <v>68</v>
      </c>
      <c r="C35" s="121">
        <v>5</v>
      </c>
      <c r="D35" s="523">
        <f>VLOOKUP(A35,'2425 Band Moderations'!$B$5:$S$21,6,(FALSE))</f>
        <v>0.15384615384615385</v>
      </c>
      <c r="E35" s="523">
        <f>VLOOKUP(A35,'2425 Band Moderations'!$B$5:$S$21,8,(FALSE))</f>
        <v>0.53846153846153844</v>
      </c>
      <c r="F35" s="523">
        <f>VLOOKUP(A35,'2425 Band Moderations'!$B$5:$S$21,10,(FALSE))</f>
        <v>0.12820512820512819</v>
      </c>
      <c r="G35" s="523">
        <f>VLOOKUP(A35,'2425 Band Moderations'!$B$5:$S$21,12,(FALSE))</f>
        <v>5.128205128205128E-2</v>
      </c>
      <c r="H35" s="523">
        <f>VLOOKUP(A35,'2425 Band Moderations'!$B$5:$S$21,14,(FALSE))</f>
        <v>2.564102564102564E-2</v>
      </c>
      <c r="I35" s="523">
        <f>VLOOKUP(A35,'2425 Band Moderations'!$B$5:$S$21,16,(FALSE))</f>
        <v>8.9743589743589744E-2</v>
      </c>
      <c r="J35" s="523">
        <f>VLOOKUP(A35,'2425 Band Moderations'!$B$5:$S$21,18,(FALSE))</f>
        <v>1.282051282051282E-2</v>
      </c>
      <c r="K35" s="162">
        <v>0</v>
      </c>
      <c r="L35" s="524">
        <f t="shared" si="5"/>
        <v>0</v>
      </c>
      <c r="M35" s="524">
        <v>0</v>
      </c>
      <c r="N35" s="524">
        <f t="shared" si="6"/>
        <v>0</v>
      </c>
      <c r="O35" s="525">
        <f t="shared" si="7"/>
        <v>0</v>
      </c>
      <c r="P35" s="525">
        <f>(VLOOKUP(A35,'2425 Funding Detail'!$A$4:$AA$20,24,FALSE)*4/12)*K35</f>
        <v>0</v>
      </c>
      <c r="Q35" s="65"/>
      <c r="R35" s="65">
        <f t="shared" si="4"/>
        <v>0</v>
      </c>
      <c r="S35" s="88"/>
      <c r="T35" s="65"/>
      <c r="U35" s="65"/>
      <c r="V35" s="6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row>
    <row r="36" spans="1:56" x14ac:dyDescent="0.25">
      <c r="A36" s="74">
        <v>9257009</v>
      </c>
      <c r="B36" s="67" t="s">
        <v>334</v>
      </c>
      <c r="C36" s="121" t="s">
        <v>451</v>
      </c>
      <c r="D36" s="523">
        <f>VLOOKUP(A36,'2425 Band Moderations'!$B$5:$S$21,6,(FALSE))</f>
        <v>0.18407960199004975</v>
      </c>
      <c r="E36" s="523">
        <f>VLOOKUP(A36,'2425 Band Moderations'!$B$5:$S$21,8,(FALSE))</f>
        <v>0.49751243781094528</v>
      </c>
      <c r="F36" s="523">
        <f>VLOOKUP(A36,'2425 Band Moderations'!$B$5:$S$21,10,(FALSE))</f>
        <v>6.965174129353234E-2</v>
      </c>
      <c r="G36" s="523">
        <f>VLOOKUP(A36,'2425 Band Moderations'!$B$5:$S$21,12,(FALSE))</f>
        <v>6.965174129353234E-2</v>
      </c>
      <c r="H36" s="523">
        <f>VLOOKUP(A36,'2425 Band Moderations'!$B$5:$S$21,14,(FALSE))</f>
        <v>3.482587064676617E-2</v>
      </c>
      <c r="I36" s="523">
        <f>VLOOKUP(A36,'2425 Band Moderations'!$B$5:$S$21,16,(FALSE))</f>
        <v>8.45771144278607E-2</v>
      </c>
      <c r="J36" s="523">
        <f>VLOOKUP(A36,'2425 Band Moderations'!$B$5:$S$21,18,(FALSE))</f>
        <v>5.9701492537313432E-2</v>
      </c>
      <c r="K36" s="162">
        <v>11</v>
      </c>
      <c r="L36" s="524">
        <f t="shared" si="5"/>
        <v>40589.014925373136</v>
      </c>
      <c r="M36" s="524">
        <v>0</v>
      </c>
      <c r="N36" s="524">
        <f t="shared" si="6"/>
        <v>40589.014925373136</v>
      </c>
      <c r="O36" s="525">
        <f t="shared" si="7"/>
        <v>36666.666666666664</v>
      </c>
      <c r="P36" s="525">
        <f>(VLOOKUP(A36,'2425 Funding Detail'!$A$4:$AA$20,24,FALSE)*4/12)*K36</f>
        <v>19461.396014216731</v>
      </c>
      <c r="Q36" s="65"/>
      <c r="R36" s="65">
        <f t="shared" si="4"/>
        <v>5693.293532338309</v>
      </c>
      <c r="S36" s="88"/>
      <c r="T36" s="65"/>
      <c r="U36" s="65"/>
      <c r="V36" s="6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row>
    <row r="37" spans="1:56" x14ac:dyDescent="0.25">
      <c r="A37" s="74">
        <v>9257029</v>
      </c>
      <c r="B37" s="67" t="s">
        <v>278</v>
      </c>
      <c r="C37" s="121" t="s">
        <v>452</v>
      </c>
      <c r="D37" s="523">
        <f>VLOOKUP(A37,'2425 Band Moderations'!$B$5:$S$21,6,(FALSE))</f>
        <v>0</v>
      </c>
      <c r="E37" s="523">
        <f>VLOOKUP(A37,'2425 Band Moderations'!$B$5:$S$21,8,(FALSE))</f>
        <v>0</v>
      </c>
      <c r="F37" s="523">
        <f>VLOOKUP(A37,'2425 Band Moderations'!$B$5:$S$21,10,(FALSE))</f>
        <v>1</v>
      </c>
      <c r="G37" s="523">
        <f>VLOOKUP(A37,'2425 Band Moderations'!$B$5:$S$21,12,(FALSE))</f>
        <v>0</v>
      </c>
      <c r="H37" s="523">
        <f>VLOOKUP(A37,'2425 Band Moderations'!$B$5:$S$21,14,(FALSE))</f>
        <v>0</v>
      </c>
      <c r="I37" s="523">
        <f>VLOOKUP(A37,'2425 Band Moderations'!$B$5:$S$21,16,(FALSE))</f>
        <v>0</v>
      </c>
      <c r="J37" s="523">
        <f>VLOOKUP(A37,'2425 Band Moderations'!$B$5:$S$21,18,(FALSE))</f>
        <v>0</v>
      </c>
      <c r="K37" s="162">
        <v>0</v>
      </c>
      <c r="L37" s="524">
        <f t="shared" si="5"/>
        <v>0</v>
      </c>
      <c r="M37" s="524">
        <v>0</v>
      </c>
      <c r="N37" s="524">
        <f t="shared" si="6"/>
        <v>0</v>
      </c>
      <c r="O37" s="525">
        <f t="shared" si="7"/>
        <v>0</v>
      </c>
      <c r="P37" s="525">
        <f>(VLOOKUP(A37,'2425 Funding Detail'!$A$4:$AA$20,24,FALSE)*4/12)*K37</f>
        <v>0</v>
      </c>
      <c r="Q37" s="65"/>
      <c r="R37" s="65">
        <f t="shared" si="4"/>
        <v>0</v>
      </c>
      <c r="S37" s="88"/>
      <c r="T37" s="65"/>
      <c r="U37" s="65"/>
      <c r="V37" s="6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row>
    <row r="38" spans="1:56" x14ac:dyDescent="0.25">
      <c r="A38" s="74">
        <v>9257032</v>
      </c>
      <c r="B38" s="67" t="s">
        <v>380</v>
      </c>
      <c r="C38" s="121" t="s">
        <v>452</v>
      </c>
      <c r="D38" s="523">
        <f>VLOOKUP(A38,'2425 Band Moderations'!$B$5:$S$21,6,(FALSE))</f>
        <v>0</v>
      </c>
      <c r="E38" s="523">
        <f>VLOOKUP(A38,'2425 Band Moderations'!$B$5:$S$21,8,(FALSE))</f>
        <v>0</v>
      </c>
      <c r="F38" s="523">
        <f>VLOOKUP(A38,'2425 Band Moderations'!$B$5:$S$21,10,(FALSE))</f>
        <v>1</v>
      </c>
      <c r="G38" s="523">
        <f>VLOOKUP(A38,'2425 Band Moderations'!$B$5:$S$21,12,(FALSE))</f>
        <v>0</v>
      </c>
      <c r="H38" s="523">
        <f>VLOOKUP(A38,'2425 Band Moderations'!$B$5:$S$21,14,(FALSE))</f>
        <v>0</v>
      </c>
      <c r="I38" s="523">
        <f>VLOOKUP(A38,'2425 Band Moderations'!$B$5:$S$21,16,(FALSE))</f>
        <v>0</v>
      </c>
      <c r="J38" s="523">
        <f>VLOOKUP(A38,'2425 Band Moderations'!$B$5:$S$21,18,(FALSE))</f>
        <v>0</v>
      </c>
      <c r="K38" s="162">
        <v>0</v>
      </c>
      <c r="L38" s="524">
        <f t="shared" si="5"/>
        <v>0</v>
      </c>
      <c r="M38" s="524">
        <v>0</v>
      </c>
      <c r="N38" s="524">
        <f t="shared" si="6"/>
        <v>0</v>
      </c>
      <c r="O38" s="525">
        <f t="shared" si="7"/>
        <v>0</v>
      </c>
      <c r="P38" s="525">
        <f>(VLOOKUP(A38,'2425 Funding Detail'!$A$4:$AA$20,24,FALSE)*4/12)*K38</f>
        <v>0</v>
      </c>
      <c r="Q38" s="65"/>
      <c r="R38" s="65">
        <f t="shared" si="4"/>
        <v>0</v>
      </c>
      <c r="S38" s="88"/>
      <c r="T38" s="65"/>
      <c r="U38" s="65"/>
      <c r="V38" s="6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row>
    <row r="39" spans="1:56" x14ac:dyDescent="0.25">
      <c r="A39" s="74">
        <v>9257030</v>
      </c>
      <c r="B39" s="67" t="s">
        <v>383</v>
      </c>
      <c r="C39" s="121" t="s">
        <v>452</v>
      </c>
      <c r="D39" s="523">
        <f>VLOOKUP(A39,'2425 Band Moderations'!$B$5:$S$21,6,(FALSE))</f>
        <v>0</v>
      </c>
      <c r="E39" s="523">
        <f>VLOOKUP(A39,'2425 Band Moderations'!$B$5:$S$21,8,(FALSE))</f>
        <v>0</v>
      </c>
      <c r="F39" s="523">
        <f>VLOOKUP(A39,'2425 Band Moderations'!$B$5:$S$21,10,(FALSE))</f>
        <v>1</v>
      </c>
      <c r="G39" s="523">
        <f>VLOOKUP(A39,'2425 Band Moderations'!$B$5:$S$21,12,(FALSE))</f>
        <v>0</v>
      </c>
      <c r="H39" s="523">
        <f>VLOOKUP(A39,'2425 Band Moderations'!$B$5:$S$21,14,(FALSE))</f>
        <v>0</v>
      </c>
      <c r="I39" s="523">
        <f>VLOOKUP(A39,'2425 Band Moderations'!$B$5:$S$21,16,(FALSE))</f>
        <v>0</v>
      </c>
      <c r="J39" s="523">
        <f>VLOOKUP(A39,'2425 Band Moderations'!$B$5:$S$21,18,(FALSE))</f>
        <v>0</v>
      </c>
      <c r="K39" s="162">
        <v>0</v>
      </c>
      <c r="L39" s="524">
        <f t="shared" si="5"/>
        <v>0</v>
      </c>
      <c r="M39" s="524">
        <v>0</v>
      </c>
      <c r="N39" s="524">
        <f t="shared" si="6"/>
        <v>0</v>
      </c>
      <c r="O39" s="525">
        <f t="shared" si="7"/>
        <v>0</v>
      </c>
      <c r="P39" s="525">
        <f>(VLOOKUP(A39,'2425 Funding Detail'!$A$4:$AA$20,24,FALSE)*4/12)*K39</f>
        <v>0</v>
      </c>
      <c r="Q39" s="65"/>
      <c r="R39" s="65">
        <f t="shared" si="4"/>
        <v>0</v>
      </c>
      <c r="S39" s="88"/>
      <c r="T39" s="65"/>
      <c r="U39" s="65"/>
      <c r="V39" s="6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row>
    <row r="40" spans="1:56" x14ac:dyDescent="0.25">
      <c r="A40" s="74">
        <v>9257028</v>
      </c>
      <c r="B40" s="67" t="s">
        <v>70</v>
      </c>
      <c r="C40" s="121">
        <v>5</v>
      </c>
      <c r="D40" s="523">
        <f>VLOOKUP(A40,'2425 Band Moderations'!$B$5:$S$21,6,(FALSE))</f>
        <v>4.6511627906976744E-2</v>
      </c>
      <c r="E40" s="523">
        <f>VLOOKUP(A40,'2425 Band Moderations'!$B$5:$S$21,8,(FALSE))</f>
        <v>0.37984496124031009</v>
      </c>
      <c r="F40" s="523">
        <f>VLOOKUP(A40,'2425 Band Moderations'!$B$5:$S$21,10,(FALSE))</f>
        <v>5.4263565891472867E-2</v>
      </c>
      <c r="G40" s="523">
        <f>VLOOKUP(A40,'2425 Band Moderations'!$B$5:$S$21,12,(FALSE))</f>
        <v>0.16279069767441862</v>
      </c>
      <c r="H40" s="523">
        <f>VLOOKUP(A40,'2425 Band Moderations'!$B$5:$S$21,14,(FALSE))</f>
        <v>6.2015503875968991E-2</v>
      </c>
      <c r="I40" s="523">
        <f>VLOOKUP(A40,'2425 Band Moderations'!$B$5:$S$21,16,(FALSE))</f>
        <v>0.13953488372093023</v>
      </c>
      <c r="J40" s="523">
        <f>VLOOKUP(A40,'2425 Band Moderations'!$B$5:$S$21,18,(FALSE))</f>
        <v>0.15503875968992248</v>
      </c>
      <c r="K40" s="162">
        <v>11</v>
      </c>
      <c r="L40" s="524">
        <f t="shared" si="5"/>
        <v>52664.503875968992</v>
      </c>
      <c r="M40" s="524">
        <v>0</v>
      </c>
      <c r="N40" s="524">
        <f t="shared" si="6"/>
        <v>52664.503875968992</v>
      </c>
      <c r="O40" s="525">
        <f t="shared" si="7"/>
        <v>36666.666666666664</v>
      </c>
      <c r="P40" s="525">
        <f>(VLOOKUP(A40,'2425 Funding Detail'!$A$4:$AA$20,24,FALSE)*4/12)*K40</f>
        <v>36546.413005480666</v>
      </c>
      <c r="Q40" s="65"/>
      <c r="R40" s="65">
        <f t="shared" si="4"/>
        <v>14784.909560723514</v>
      </c>
      <c r="S40" s="88"/>
      <c r="T40" s="65"/>
      <c r="U40" s="65"/>
      <c r="V40" s="6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row>
    <row r="41" spans="1:56" x14ac:dyDescent="0.25">
      <c r="A41" s="74">
        <v>9257021</v>
      </c>
      <c r="B41" s="67" t="s">
        <v>71</v>
      </c>
      <c r="C41" s="121" t="s">
        <v>453</v>
      </c>
      <c r="D41" s="523">
        <f>VLOOKUP(A41,'2425 Band Moderations'!$B$5:$S$21,6,(FALSE))</f>
        <v>0.21264367816091953</v>
      </c>
      <c r="E41" s="523">
        <f>VLOOKUP(A41,'2425 Band Moderations'!$B$5:$S$21,8,(FALSE))</f>
        <v>0.52298850574712641</v>
      </c>
      <c r="F41" s="523">
        <f>VLOOKUP(A41,'2425 Band Moderations'!$B$5:$S$21,10,(FALSE))</f>
        <v>0.13218390804597702</v>
      </c>
      <c r="G41" s="523">
        <f>VLOOKUP(A41,'2425 Band Moderations'!$B$5:$S$21,12,(FALSE))</f>
        <v>6.8965517241379309E-2</v>
      </c>
      <c r="H41" s="523">
        <f>VLOOKUP(A41,'2425 Band Moderations'!$B$5:$S$21,14,(FALSE))</f>
        <v>2.2988505747126436E-2</v>
      </c>
      <c r="I41" s="523">
        <f>VLOOKUP(A41,'2425 Band Moderations'!$B$5:$S$21,16,(FALSE))</f>
        <v>2.8735632183908046E-2</v>
      </c>
      <c r="J41" s="523">
        <f>VLOOKUP(A41,'2425 Band Moderations'!$B$5:$S$21,18,(FALSE))</f>
        <v>1.1494252873563218E-2</v>
      </c>
      <c r="K41" s="162">
        <v>0</v>
      </c>
      <c r="L41" s="524">
        <f t="shared" si="5"/>
        <v>0</v>
      </c>
      <c r="M41" s="524">
        <v>0</v>
      </c>
      <c r="N41" s="524">
        <f t="shared" si="6"/>
        <v>0</v>
      </c>
      <c r="O41" s="525">
        <f t="shared" si="7"/>
        <v>0</v>
      </c>
      <c r="P41" s="525">
        <f>(VLOOKUP(A41,'2425 Funding Detail'!$A$4:$AA$20,24,FALSE)*4/12)*K41</f>
        <v>0</v>
      </c>
      <c r="Q41" s="65"/>
      <c r="R41" s="65">
        <f t="shared" si="4"/>
        <v>0</v>
      </c>
      <c r="S41" s="88"/>
      <c r="T41" s="65"/>
      <c r="U41" s="65"/>
      <c r="V41" s="6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1:56" x14ac:dyDescent="0.25">
      <c r="A42" s="74">
        <v>9257015</v>
      </c>
      <c r="B42" s="67" t="s">
        <v>72</v>
      </c>
      <c r="C42" s="121" t="s">
        <v>454</v>
      </c>
      <c r="D42" s="523">
        <f>VLOOKUP(A42,'2425 Band Moderations'!$B$5:$S$21,6,(FALSE))</f>
        <v>0.21982758620689655</v>
      </c>
      <c r="E42" s="523">
        <f>VLOOKUP(A42,'2425 Band Moderations'!$B$5:$S$21,8,(FALSE))</f>
        <v>0.44827586206896552</v>
      </c>
      <c r="F42" s="523">
        <f>VLOOKUP(A42,'2425 Band Moderations'!$B$5:$S$21,10,(FALSE))</f>
        <v>1.2931034482758621E-2</v>
      </c>
      <c r="G42" s="523">
        <f>VLOOKUP(A42,'2425 Band Moderations'!$B$5:$S$21,12,(FALSE))</f>
        <v>9.4827586206896547E-2</v>
      </c>
      <c r="H42" s="523">
        <f>VLOOKUP(A42,'2425 Band Moderations'!$B$5:$S$21,14,(FALSE))</f>
        <v>3.4482758620689655E-2</v>
      </c>
      <c r="I42" s="523">
        <f>VLOOKUP(A42,'2425 Band Moderations'!$B$5:$S$21,16,(FALSE))</f>
        <v>0.16379310344827586</v>
      </c>
      <c r="J42" s="523">
        <f>VLOOKUP(A42,'2425 Band Moderations'!$B$5:$S$21,18,(FALSE))</f>
        <v>2.5862068965517241E-2</v>
      </c>
      <c r="K42" s="162">
        <v>23</v>
      </c>
      <c r="L42" s="524">
        <f t="shared" si="5"/>
        <v>83651.198275862058</v>
      </c>
      <c r="M42" s="524">
        <v>0</v>
      </c>
      <c r="N42" s="524">
        <f t="shared" si="6"/>
        <v>83651.198275862058</v>
      </c>
      <c r="O42" s="525">
        <f t="shared" si="7"/>
        <v>76666.666666666657</v>
      </c>
      <c r="P42" s="525">
        <f>(VLOOKUP(A42,'2425 Funding Detail'!$A$4:$AA$20,24,FALSE)*4/12)*K42</f>
        <v>32920.887892731102</v>
      </c>
      <c r="Q42" s="65"/>
      <c r="R42" s="65">
        <f t="shared" si="4"/>
        <v>5156.7586206896549</v>
      </c>
      <c r="S42" s="88"/>
      <c r="T42" s="65"/>
      <c r="U42" s="65"/>
      <c r="V42" s="6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1:56" x14ac:dyDescent="0.25">
      <c r="A43" s="74">
        <v>9257016</v>
      </c>
      <c r="B43" s="67" t="s">
        <v>73</v>
      </c>
      <c r="C43" s="121" t="s">
        <v>454</v>
      </c>
      <c r="D43" s="523">
        <f>VLOOKUP(A43,'2425 Band Moderations'!$B$5:$S$21,6,(FALSE))</f>
        <v>0.12179487179487179</v>
      </c>
      <c r="E43" s="523">
        <f>VLOOKUP(A43,'2425 Band Moderations'!$B$5:$S$21,8,(FALSE))</f>
        <v>0.22435897435897437</v>
      </c>
      <c r="F43" s="523">
        <f>VLOOKUP(A43,'2425 Band Moderations'!$B$5:$S$21,10,(FALSE))</f>
        <v>1.282051282051282E-2</v>
      </c>
      <c r="G43" s="523">
        <f>VLOOKUP(A43,'2425 Band Moderations'!$B$5:$S$21,12,(FALSE))</f>
        <v>0.23717948717948717</v>
      </c>
      <c r="H43" s="523">
        <f>VLOOKUP(A43,'2425 Band Moderations'!$B$5:$S$21,14,(FALSE))</f>
        <v>0.17307692307692307</v>
      </c>
      <c r="I43" s="523">
        <f>VLOOKUP(A43,'2425 Band Moderations'!$B$5:$S$21,16,(FALSE))</f>
        <v>1.282051282051282E-2</v>
      </c>
      <c r="J43" s="523">
        <f>VLOOKUP(A43,'2425 Band Moderations'!$B$5:$S$21,18,(FALSE))</f>
        <v>0.21794871794871795</v>
      </c>
      <c r="K43" s="162">
        <v>51</v>
      </c>
      <c r="L43" s="524">
        <f t="shared" si="5"/>
        <v>262407.96794871788</v>
      </c>
      <c r="M43" s="524">
        <v>0</v>
      </c>
      <c r="N43" s="524">
        <f t="shared" si="6"/>
        <v>262407.96794871788</v>
      </c>
      <c r="O43" s="525">
        <f t="shared" si="7"/>
        <v>170000</v>
      </c>
      <c r="P43" s="525">
        <f>(VLOOKUP(A43,'2425 Funding Detail'!$A$4:$AA$20,24,FALSE)*4/12)*K43</f>
        <v>181263.98132257815</v>
      </c>
      <c r="Q43" s="107" t="s">
        <v>62</v>
      </c>
      <c r="R43" s="65">
        <f t="shared" si="4"/>
        <v>96362.974358974359</v>
      </c>
      <c r="S43" s="88"/>
      <c r="T43" s="65"/>
      <c r="U43" s="65"/>
      <c r="V43" s="6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1:56" x14ac:dyDescent="0.25">
      <c r="A44" s="78"/>
      <c r="B44" s="15"/>
      <c r="C44" s="64"/>
      <c r="D44" s="87"/>
      <c r="E44" s="87"/>
      <c r="F44" s="107" t="s">
        <v>62</v>
      </c>
      <c r="G44" s="87"/>
      <c r="H44" s="87"/>
      <c r="I44" s="87"/>
      <c r="J44" s="107" t="s">
        <v>62</v>
      </c>
      <c r="K44" s="15"/>
      <c r="L44" s="88"/>
      <c r="M44" s="88"/>
      <c r="N44" s="107" t="s">
        <v>62</v>
      </c>
      <c r="O44" s="65"/>
      <c r="P44" s="65"/>
      <c r="Q44" s="65"/>
      <c r="R44" s="88"/>
      <c r="S44" s="88"/>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1:56" ht="13" x14ac:dyDescent="0.3">
      <c r="A45" s="34" t="s">
        <v>908</v>
      </c>
      <c r="B45" s="15"/>
      <c r="C45" s="15"/>
      <c r="D45" s="15"/>
      <c r="E45" s="15"/>
      <c r="F45" s="15"/>
      <c r="G45" s="15"/>
      <c r="H45" s="15"/>
      <c r="I45" s="15"/>
      <c r="J45" s="15"/>
      <c r="K45" s="64"/>
      <c r="L45" s="64"/>
      <c r="M45" s="15"/>
      <c r="N45" s="15"/>
      <c r="O45" s="15"/>
      <c r="P45" s="15"/>
      <c r="Q45" s="15"/>
      <c r="R45" s="64"/>
      <c r="S45" s="100"/>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1:56" x14ac:dyDescent="0.25">
      <c r="A46" s="15"/>
      <c r="B46" s="15"/>
      <c r="C46" s="15"/>
      <c r="D46" s="15"/>
      <c r="E46" s="15"/>
      <c r="F46" s="15"/>
      <c r="G46" s="15"/>
      <c r="H46" s="15"/>
      <c r="I46" s="15"/>
      <c r="J46" s="15"/>
      <c r="K46" s="35" t="s">
        <v>910</v>
      </c>
      <c r="L46" s="64"/>
      <c r="M46" s="15"/>
      <c r="N46" s="15"/>
      <c r="O46" s="1108" t="s">
        <v>77</v>
      </c>
      <c r="P46" s="1109"/>
      <c r="Q46" s="15"/>
      <c r="R46" s="64"/>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ht="39.75" customHeight="1" x14ac:dyDescent="0.25">
      <c r="A47" s="85" t="s">
        <v>48</v>
      </c>
      <c r="B47" s="67" t="s">
        <v>49</v>
      </c>
      <c r="C47" s="68" t="s">
        <v>50</v>
      </c>
      <c r="D47" s="64" t="s">
        <v>280</v>
      </c>
      <c r="E47" s="64" t="s">
        <v>281</v>
      </c>
      <c r="F47" s="64" t="s">
        <v>282</v>
      </c>
      <c r="G47" s="64" t="s">
        <v>283</v>
      </c>
      <c r="H47" s="64" t="s">
        <v>284</v>
      </c>
      <c r="I47" s="64" t="s">
        <v>285</v>
      </c>
      <c r="J47" s="64" t="s">
        <v>286</v>
      </c>
      <c r="K47" s="73" t="s">
        <v>78</v>
      </c>
      <c r="L47" s="73" t="s">
        <v>93</v>
      </c>
      <c r="M47" s="73" t="s">
        <v>94</v>
      </c>
      <c r="N47" s="73" t="s">
        <v>95</v>
      </c>
      <c r="O47" s="92" t="s">
        <v>96</v>
      </c>
      <c r="P47" s="110" t="s">
        <v>97</v>
      </c>
      <c r="Q47" s="15"/>
      <c r="R47" s="64"/>
      <c r="S47" s="100"/>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x14ac:dyDescent="0.25">
      <c r="A48" s="74">
        <v>9257010</v>
      </c>
      <c r="B48" s="67" t="s">
        <v>439</v>
      </c>
      <c r="C48" s="121">
        <v>5</v>
      </c>
      <c r="D48" s="523">
        <f>VLOOKUP(A48,'2425 Band Moderations'!$B$5:$S$21,6,(FALSE))</f>
        <v>8.9041095890410954E-2</v>
      </c>
      <c r="E48" s="523">
        <f>VLOOKUP(A48,'2425 Band Moderations'!$B$5:$S$21,8,(FALSE))</f>
        <v>0.39726027397260272</v>
      </c>
      <c r="F48" s="523">
        <f>VLOOKUP(A48,'2425 Band Moderations'!$B$5:$S$21,10,(FALSE))</f>
        <v>4.7945205479452052E-2</v>
      </c>
      <c r="G48" s="523">
        <f>VLOOKUP(A48,'2425 Band Moderations'!$B$5:$S$21,12,(FALSE))</f>
        <v>0.21232876712328766</v>
      </c>
      <c r="H48" s="523">
        <f>VLOOKUP(A48,'2425 Band Moderations'!$B$5:$S$21,14,(FALSE))</f>
        <v>5.4794520547945202E-2</v>
      </c>
      <c r="I48" s="523">
        <f>VLOOKUP(A48,'2425 Band Moderations'!$B$5:$S$21,16,(FALSE))</f>
        <v>9.5890410958904104E-2</v>
      </c>
      <c r="J48" s="523">
        <f>VLOOKUP(A48,'2425 Band Moderations'!$B$5:$S$21,18,(FALSE))</f>
        <v>0.10273972602739725</v>
      </c>
      <c r="K48" s="703">
        <v>132</v>
      </c>
      <c r="L48" s="524">
        <f>((((K48*D48)*$G$88)+((K48*E48)*$G$90)+((K48*F48)*$G$92)+((K48*G48)*$G$94)+((K48*H48)*$G$96)+((K48*I48)*$G$98)+((K48*J48)*$G$100))*(7/12))</f>
        <v>1021190.8767123289</v>
      </c>
      <c r="M48" s="524">
        <v>0</v>
      </c>
      <c r="N48" s="524">
        <f t="shared" ref="N48:N64" si="8">SUM(L48:M48)</f>
        <v>1021190.8767123289</v>
      </c>
      <c r="O48" s="525">
        <f>(K48*(7/12))*10000</f>
        <v>770000</v>
      </c>
      <c r="P48" s="525">
        <f>(VLOOKUP(A48,'2425 Funding Detail'!$A$4:$AA$20,24,FALSE)*7/12)*K48</f>
        <v>654859.9045731423</v>
      </c>
      <c r="Q48" s="65"/>
      <c r="R48" s="65">
        <f t="shared" ref="R48:R64" si="9">(J48*K48*$G$100)*7/12</f>
        <v>205748.21917808219</v>
      </c>
      <c r="S48" s="63"/>
      <c r="T48" s="104"/>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x14ac:dyDescent="0.25">
      <c r="A49" s="74">
        <v>9257005</v>
      </c>
      <c r="B49" s="67" t="s">
        <v>63</v>
      </c>
      <c r="C49" s="121">
        <v>4</v>
      </c>
      <c r="D49" s="523">
        <f>VLOOKUP(A49,'2425 Band Moderations'!$B$5:$S$21,6,(FALSE))</f>
        <v>5.6338028169014086E-2</v>
      </c>
      <c r="E49" s="523">
        <f>VLOOKUP(A49,'2425 Band Moderations'!$B$5:$S$21,8,(FALSE))</f>
        <v>0.18309859154929578</v>
      </c>
      <c r="F49" s="523">
        <f>VLOOKUP(A49,'2425 Band Moderations'!$B$5:$S$21,10,(FALSE))</f>
        <v>0.11267605633802817</v>
      </c>
      <c r="G49" s="523">
        <f>VLOOKUP(A49,'2425 Band Moderations'!$B$5:$S$21,12,(FALSE))</f>
        <v>0.18309859154929578</v>
      </c>
      <c r="H49" s="523">
        <f>VLOOKUP(A49,'2425 Band Moderations'!$B$5:$S$21,14,(FALSE))</f>
        <v>0.12676056338028169</v>
      </c>
      <c r="I49" s="523">
        <f>VLOOKUP(A49,'2425 Band Moderations'!$B$5:$S$21,16,(FALSE))</f>
        <v>0.21126760563380281</v>
      </c>
      <c r="J49" s="523">
        <f>VLOOKUP(A49,'2425 Band Moderations'!$B$5:$S$21,18,(FALSE))</f>
        <v>0.12676056338028169</v>
      </c>
      <c r="K49" s="162">
        <v>59</v>
      </c>
      <c r="L49" s="524">
        <f t="shared" ref="L49:L64" si="10">((((K49*D49)*$G$88)+((K49*E49)*$G$90)+((K49*F49)*$G$92)+((K49*G49)*$G$94)+((K49*H49)*$G$96)+((K49*I49)*$G$98)+((K49*J49)*$G$100))*(7/12))</f>
        <v>540279.13497652591</v>
      </c>
      <c r="M49" s="524">
        <v>0</v>
      </c>
      <c r="N49" s="524">
        <f t="shared" si="8"/>
        <v>540279.13497652591</v>
      </c>
      <c r="O49" s="525">
        <f t="shared" ref="O49:O64" si="11">(K49*(7/12))*10000</f>
        <v>344166.66666666669</v>
      </c>
      <c r="P49" s="525">
        <f>(VLOOKUP(A49,'2425 Funding Detail'!$A$4:$AA$20,24,FALSE)*7/12)*K49</f>
        <v>475711.5558512042</v>
      </c>
      <c r="Q49" s="65"/>
      <c r="R49" s="65">
        <f t="shared" si="9"/>
        <v>113464.47887323944</v>
      </c>
      <c r="S49" s="88"/>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x14ac:dyDescent="0.25">
      <c r="A50" s="74">
        <v>9257025</v>
      </c>
      <c r="B50" s="67" t="s">
        <v>64</v>
      </c>
      <c r="C50" s="121">
        <v>4</v>
      </c>
      <c r="D50" s="523">
        <f>VLOOKUP(A50,'2425 Band Moderations'!$B$5:$S$21,6,(FALSE))</f>
        <v>8.3333333333333329E-2</v>
      </c>
      <c r="E50" s="523">
        <f>VLOOKUP(A50,'2425 Band Moderations'!$B$5:$S$21,8,(FALSE))</f>
        <v>0.64583333333333337</v>
      </c>
      <c r="F50" s="523">
        <f>VLOOKUP(A50,'2425 Band Moderations'!$B$5:$S$21,10,(FALSE))</f>
        <v>4.1666666666666664E-2</v>
      </c>
      <c r="G50" s="523">
        <f>VLOOKUP(A50,'2425 Band Moderations'!$B$5:$S$21,12,(FALSE))</f>
        <v>0.125</v>
      </c>
      <c r="H50" s="523">
        <f>VLOOKUP(A50,'2425 Band Moderations'!$B$5:$S$21,14,(FALSE))</f>
        <v>0</v>
      </c>
      <c r="I50" s="523">
        <f>VLOOKUP(A50,'2425 Band Moderations'!$B$5:$S$21,16,(FALSE))</f>
        <v>7.2916666666666671E-2</v>
      </c>
      <c r="J50" s="523">
        <f>VLOOKUP(A50,'2425 Band Moderations'!$B$5:$S$21,18,(FALSE))</f>
        <v>3.125E-2</v>
      </c>
      <c r="K50" s="703">
        <v>88</v>
      </c>
      <c r="L50" s="524">
        <f t="shared" si="10"/>
        <v>540150.18750000012</v>
      </c>
      <c r="M50" s="524">
        <v>0</v>
      </c>
      <c r="N50" s="524">
        <f t="shared" si="8"/>
        <v>540150.18750000012</v>
      </c>
      <c r="O50" s="525">
        <f t="shared" si="11"/>
        <v>513333.33333333337</v>
      </c>
      <c r="P50" s="525">
        <f>(VLOOKUP(A50,'2425 Funding Detail'!$A$4:$AA$20,24,FALSE)*7/12)*K50</f>
        <v>330000.46151069284</v>
      </c>
      <c r="Q50" s="65"/>
      <c r="R50" s="65">
        <f t="shared" si="9"/>
        <v>41721.166666666664</v>
      </c>
      <c r="S50" s="88"/>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x14ac:dyDescent="0.25">
      <c r="A51" s="74">
        <v>9257024</v>
      </c>
      <c r="B51" s="67" t="s">
        <v>66</v>
      </c>
      <c r="C51" s="121">
        <v>4</v>
      </c>
      <c r="D51" s="523">
        <f>VLOOKUP(A51,'2425 Band Moderations'!$B$5:$S$21,6,(FALSE))</f>
        <v>0.10526315789473684</v>
      </c>
      <c r="E51" s="523">
        <f>VLOOKUP(A51,'2425 Band Moderations'!$B$5:$S$21,8,(FALSE))</f>
        <v>0.56842105263157894</v>
      </c>
      <c r="F51" s="523">
        <f>VLOOKUP(A51,'2425 Band Moderations'!$B$5:$S$21,10,(FALSE))</f>
        <v>2.1052631578947368E-2</v>
      </c>
      <c r="G51" s="523">
        <f>VLOOKUP(A51,'2425 Band Moderations'!$B$5:$S$21,12,(FALSE))</f>
        <v>0.14736842105263157</v>
      </c>
      <c r="H51" s="523">
        <f>VLOOKUP(A51,'2425 Band Moderations'!$B$5:$S$21,14,(FALSE))</f>
        <v>6.3157894736842107E-2</v>
      </c>
      <c r="I51" s="523">
        <f>VLOOKUP(A51,'2425 Band Moderations'!$B$5:$S$21,16,(FALSE))</f>
        <v>4.2105263157894736E-2</v>
      </c>
      <c r="J51" s="523">
        <f>VLOOKUP(A51,'2425 Band Moderations'!$B$5:$S$21,18,(FALSE))</f>
        <v>5.2631578947368418E-2</v>
      </c>
      <c r="K51" s="162">
        <v>83</v>
      </c>
      <c r="L51" s="524">
        <f t="shared" si="10"/>
        <v>539508.44561403512</v>
      </c>
      <c r="M51" s="524">
        <v>0</v>
      </c>
      <c r="N51" s="524">
        <f t="shared" si="8"/>
        <v>539508.44561403512</v>
      </c>
      <c r="O51" s="525">
        <f t="shared" si="11"/>
        <v>484166.66666666669</v>
      </c>
      <c r="P51" s="525">
        <f>(VLOOKUP(A51,'2425 Funding Detail'!$A$4:$AA$20,24,FALSE)*7/12)*K51</f>
        <v>339101.01814922044</v>
      </c>
      <c r="Q51" s="65"/>
      <c r="R51" s="65">
        <f t="shared" si="9"/>
        <v>66274.771929824565</v>
      </c>
      <c r="S51" s="88"/>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x14ac:dyDescent="0.25">
      <c r="A52" s="74">
        <v>9257031</v>
      </c>
      <c r="B52" s="67" t="s">
        <v>84</v>
      </c>
      <c r="C52" s="121">
        <v>5</v>
      </c>
      <c r="D52" s="523">
        <f>VLOOKUP(A52,'2425 Band Moderations'!$B$5:$S$21,6,(FALSE))</f>
        <v>0</v>
      </c>
      <c r="E52" s="523">
        <f>VLOOKUP(A52,'2425 Band Moderations'!$B$5:$S$21,8,(FALSE))</f>
        <v>0</v>
      </c>
      <c r="F52" s="523">
        <f>VLOOKUP(A52,'2425 Band Moderations'!$B$5:$S$21,10,(FALSE))</f>
        <v>1</v>
      </c>
      <c r="G52" s="523">
        <f>VLOOKUP(A52,'2425 Band Moderations'!$B$5:$S$21,12,(FALSE))</f>
        <v>0</v>
      </c>
      <c r="H52" s="523">
        <f>VLOOKUP(A52,'2425 Band Moderations'!$B$5:$S$21,14,(FALSE))</f>
        <v>0</v>
      </c>
      <c r="I52" s="523">
        <f>VLOOKUP(A52,'2425 Band Moderations'!$B$5:$S$21,16,(FALSE))</f>
        <v>0</v>
      </c>
      <c r="J52" s="523">
        <f>VLOOKUP(A52,'2425 Band Moderations'!$B$5:$S$21,18,(FALSE))</f>
        <v>0</v>
      </c>
      <c r="K52" s="162">
        <v>80</v>
      </c>
      <c r="L52" s="524">
        <f t="shared" si="10"/>
        <v>748300</v>
      </c>
      <c r="M52" s="524">
        <v>0</v>
      </c>
      <c r="N52" s="524">
        <f t="shared" si="8"/>
        <v>748300</v>
      </c>
      <c r="O52" s="525">
        <f t="shared" si="11"/>
        <v>466666.66666666669</v>
      </c>
      <c r="P52" s="525">
        <f>(VLOOKUP(A52,'2425 Funding Detail'!$A$4:$AA$20,24,FALSE)*7/12)*K52</f>
        <v>603283.4058721934</v>
      </c>
      <c r="Q52" s="65"/>
      <c r="R52" s="65">
        <f t="shared" si="9"/>
        <v>0</v>
      </c>
      <c r="S52" s="88"/>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x14ac:dyDescent="0.25">
      <c r="A53" s="74">
        <v>9257033</v>
      </c>
      <c r="B53" s="67" t="s">
        <v>74</v>
      </c>
      <c r="C53" s="121" t="s">
        <v>451</v>
      </c>
      <c r="D53" s="523">
        <f>VLOOKUP(A53,'2425 Band Moderations'!$B$5:$S$21,6,(FALSE))</f>
        <v>0.12389380530973451</v>
      </c>
      <c r="E53" s="523">
        <f>VLOOKUP(A53,'2425 Band Moderations'!$B$5:$S$21,8,(FALSE))</f>
        <v>0.68141592920353977</v>
      </c>
      <c r="F53" s="523">
        <f>VLOOKUP(A53,'2425 Band Moderations'!$B$5:$S$21,10,(FALSE))</f>
        <v>1.7699115044247787E-2</v>
      </c>
      <c r="G53" s="523">
        <f>VLOOKUP(A53,'2425 Band Moderations'!$B$5:$S$21,12,(FALSE))</f>
        <v>0.10619469026548672</v>
      </c>
      <c r="H53" s="523">
        <f>VLOOKUP(A53,'2425 Band Moderations'!$B$5:$S$21,14,(FALSE))</f>
        <v>3.5398230088495575E-2</v>
      </c>
      <c r="I53" s="523">
        <f>VLOOKUP(A53,'2425 Band Moderations'!$B$5:$S$21,16,(FALSE))</f>
        <v>8.8495575221238937E-3</v>
      </c>
      <c r="J53" s="523">
        <f>VLOOKUP(A53,'2425 Band Moderations'!$B$5:$S$21,18,(FALSE))</f>
        <v>2.6548672566371681E-2</v>
      </c>
      <c r="K53" s="162">
        <v>116</v>
      </c>
      <c r="L53" s="524">
        <f t="shared" si="10"/>
        <v>658523.01769911498</v>
      </c>
      <c r="M53" s="524">
        <v>0</v>
      </c>
      <c r="N53" s="524">
        <f t="shared" si="8"/>
        <v>658523.01769911498</v>
      </c>
      <c r="O53" s="525">
        <f t="shared" si="11"/>
        <v>676666.66666666674</v>
      </c>
      <c r="P53" s="525">
        <f>(VLOOKUP(A53,'2425 Funding Detail'!$A$4:$AA$20,24,FALSE)*7/12)*K53</f>
        <v>354248.68383706262</v>
      </c>
      <c r="Q53" s="65"/>
      <c r="R53" s="65">
        <f t="shared" si="9"/>
        <v>46722.336283185839</v>
      </c>
      <c r="S53" s="88"/>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x14ac:dyDescent="0.25">
      <c r="A54" s="74">
        <v>9257008</v>
      </c>
      <c r="B54" s="67" t="s">
        <v>67</v>
      </c>
      <c r="C54" s="121">
        <v>4</v>
      </c>
      <c r="D54" s="523">
        <f>VLOOKUP(A54,'2425 Band Moderations'!$B$5:$S$21,6,(FALSE))</f>
        <v>8.9108910891089105E-2</v>
      </c>
      <c r="E54" s="523">
        <f>VLOOKUP(A54,'2425 Band Moderations'!$B$5:$S$21,8,(FALSE))</f>
        <v>0.64356435643564358</v>
      </c>
      <c r="F54" s="523">
        <f>VLOOKUP(A54,'2425 Band Moderations'!$B$5:$S$21,10,(FALSE))</f>
        <v>4.9504950495049507E-2</v>
      </c>
      <c r="G54" s="523">
        <f>VLOOKUP(A54,'2425 Band Moderations'!$B$5:$S$21,12,(FALSE))</f>
        <v>0.13861386138613863</v>
      </c>
      <c r="H54" s="523">
        <f>VLOOKUP(A54,'2425 Band Moderations'!$B$5:$S$21,14,(FALSE))</f>
        <v>0</v>
      </c>
      <c r="I54" s="523">
        <f>VLOOKUP(A54,'2425 Band Moderations'!$B$5:$S$21,16,(FALSE))</f>
        <v>7.9207920792079209E-2</v>
      </c>
      <c r="J54" s="523">
        <f>VLOOKUP(A54,'2425 Band Moderations'!$B$5:$S$21,18,(FALSE))</f>
        <v>0</v>
      </c>
      <c r="K54" s="162">
        <v>101</v>
      </c>
      <c r="L54" s="524">
        <f t="shared" si="10"/>
        <v>600278</v>
      </c>
      <c r="M54" s="524">
        <v>0</v>
      </c>
      <c r="N54" s="524">
        <f t="shared" si="8"/>
        <v>600278</v>
      </c>
      <c r="O54" s="525">
        <f t="shared" si="11"/>
        <v>589166.66666666674</v>
      </c>
      <c r="P54" s="525">
        <f>(VLOOKUP(A54,'2425 Funding Detail'!$A$4:$AA$20,24,FALSE)*7/12)*K54</f>
        <v>342786.73333333316</v>
      </c>
      <c r="Q54" s="65"/>
      <c r="R54" s="65">
        <f t="shared" si="9"/>
        <v>0</v>
      </c>
      <c r="S54" s="88"/>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x14ac:dyDescent="0.25">
      <c r="A55" s="74">
        <v>9257034</v>
      </c>
      <c r="B55" s="67" t="s">
        <v>75</v>
      </c>
      <c r="C55" s="121" t="s">
        <v>451</v>
      </c>
      <c r="D55" s="523">
        <f>VLOOKUP(A55,'2425 Band Moderations'!$B$5:$S$21,6,(FALSE))</f>
        <v>0.37692307692307692</v>
      </c>
      <c r="E55" s="523">
        <f>VLOOKUP(A55,'2425 Band Moderations'!$B$5:$S$21,8,(FALSE))</f>
        <v>0.4</v>
      </c>
      <c r="F55" s="523">
        <f>VLOOKUP(A55,'2425 Band Moderations'!$B$5:$S$21,10,(FALSE))</f>
        <v>7.6923076923076927E-2</v>
      </c>
      <c r="G55" s="523">
        <f>VLOOKUP(A55,'2425 Band Moderations'!$B$5:$S$21,12,(FALSE))</f>
        <v>6.1538461538461542E-2</v>
      </c>
      <c r="H55" s="523">
        <f>VLOOKUP(A55,'2425 Band Moderations'!$B$5:$S$21,14,(FALSE))</f>
        <v>1.5384615384615385E-2</v>
      </c>
      <c r="I55" s="523">
        <f>VLOOKUP(A55,'2425 Band Moderations'!$B$5:$S$21,16,(FALSE))</f>
        <v>5.3846153846153849E-2</v>
      </c>
      <c r="J55" s="523">
        <f>VLOOKUP(A55,'2425 Band Moderations'!$B$5:$S$21,18,(FALSE))</f>
        <v>1.5384615384615385E-2</v>
      </c>
      <c r="K55" s="162">
        <v>113</v>
      </c>
      <c r="L55" s="524">
        <f t="shared" si="10"/>
        <v>630600.41153846157</v>
      </c>
      <c r="M55" s="524">
        <v>0</v>
      </c>
      <c r="N55" s="524">
        <f t="shared" si="8"/>
        <v>630600.41153846157</v>
      </c>
      <c r="O55" s="525">
        <f t="shared" si="11"/>
        <v>659166.66666666674</v>
      </c>
      <c r="P55" s="525">
        <f>(VLOOKUP(A55,'2425 Funding Detail'!$A$4:$AA$20,24,FALSE)*7/12)*K55</f>
        <v>314399.39825842489</v>
      </c>
      <c r="Q55" s="65"/>
      <c r="R55" s="65">
        <f t="shared" si="9"/>
        <v>26374.779487179487</v>
      </c>
      <c r="S55" s="88"/>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x14ac:dyDescent="0.25">
      <c r="A56" s="74">
        <v>9257002</v>
      </c>
      <c r="B56" s="67" t="s">
        <v>68</v>
      </c>
      <c r="C56" s="121">
        <v>5</v>
      </c>
      <c r="D56" s="523">
        <f>VLOOKUP(A56,'2425 Band Moderations'!$B$5:$S$21,6,(FALSE))</f>
        <v>0.15384615384615385</v>
      </c>
      <c r="E56" s="523">
        <f>VLOOKUP(A56,'2425 Band Moderations'!$B$5:$S$21,8,(FALSE))</f>
        <v>0.53846153846153844</v>
      </c>
      <c r="F56" s="523">
        <f>VLOOKUP(A56,'2425 Band Moderations'!$B$5:$S$21,10,(FALSE))</f>
        <v>0.12820512820512819</v>
      </c>
      <c r="G56" s="523">
        <f>VLOOKUP(A56,'2425 Band Moderations'!$B$5:$S$21,12,(FALSE))</f>
        <v>5.128205128205128E-2</v>
      </c>
      <c r="H56" s="523">
        <f>VLOOKUP(A56,'2425 Band Moderations'!$B$5:$S$21,14,(FALSE))</f>
        <v>2.564102564102564E-2</v>
      </c>
      <c r="I56" s="523">
        <f>VLOOKUP(A56,'2425 Band Moderations'!$B$5:$S$21,16,(FALSE))</f>
        <v>8.9743589743589744E-2</v>
      </c>
      <c r="J56" s="523">
        <f>VLOOKUP(A56,'2425 Band Moderations'!$B$5:$S$21,18,(FALSE))</f>
        <v>1.282051282051282E-2</v>
      </c>
      <c r="K56" s="162">
        <v>175</v>
      </c>
      <c r="L56" s="524">
        <f t="shared" si="10"/>
        <v>1077116.5865384615</v>
      </c>
      <c r="M56" s="524">
        <v>0</v>
      </c>
      <c r="N56" s="524">
        <f t="shared" si="8"/>
        <v>1077116.5865384615</v>
      </c>
      <c r="O56" s="525">
        <f t="shared" si="11"/>
        <v>1020833.3333333334</v>
      </c>
      <c r="P56" s="525">
        <f>(VLOOKUP(A56,'2425 Funding Detail'!$A$4:$AA$20,24,FALSE)*7/12)*K56</f>
        <v>485422.69263505685</v>
      </c>
      <c r="Q56" s="65"/>
      <c r="R56" s="65">
        <f t="shared" si="9"/>
        <v>34038.247863247867</v>
      </c>
      <c r="S56" s="88"/>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x14ac:dyDescent="0.25">
      <c r="A57" s="74">
        <v>9257009</v>
      </c>
      <c r="B57" s="67" t="s">
        <v>334</v>
      </c>
      <c r="C57" s="121" t="s">
        <v>451</v>
      </c>
      <c r="D57" s="523">
        <f>VLOOKUP(A57,'2425 Band Moderations'!$B$5:$S$21,6,(FALSE))</f>
        <v>0.18407960199004975</v>
      </c>
      <c r="E57" s="523">
        <f>VLOOKUP(A57,'2425 Band Moderations'!$B$5:$S$21,8,(FALSE))</f>
        <v>0.49751243781094528</v>
      </c>
      <c r="F57" s="523">
        <f>VLOOKUP(A57,'2425 Band Moderations'!$B$5:$S$21,10,(FALSE))</f>
        <v>6.965174129353234E-2</v>
      </c>
      <c r="G57" s="523">
        <f>VLOOKUP(A57,'2425 Band Moderations'!$B$5:$S$21,12,(FALSE))</f>
        <v>6.965174129353234E-2</v>
      </c>
      <c r="H57" s="523">
        <f>VLOOKUP(A57,'2425 Band Moderations'!$B$5:$S$21,14,(FALSE))</f>
        <v>3.482587064676617E-2</v>
      </c>
      <c r="I57" s="523">
        <f>VLOOKUP(A57,'2425 Band Moderations'!$B$5:$S$21,16,(FALSE))</f>
        <v>8.45771144278607E-2</v>
      </c>
      <c r="J57" s="523">
        <f>VLOOKUP(A57,'2425 Band Moderations'!$B$5:$S$21,18,(FALSE))</f>
        <v>5.9701492537313432E-2</v>
      </c>
      <c r="K57" s="162">
        <v>197</v>
      </c>
      <c r="L57" s="524">
        <f t="shared" si="10"/>
        <v>1272096.6268656717</v>
      </c>
      <c r="M57" s="524">
        <v>0</v>
      </c>
      <c r="N57" s="524">
        <f t="shared" si="8"/>
        <v>1272096.6268656717</v>
      </c>
      <c r="O57" s="525">
        <f t="shared" si="11"/>
        <v>1149166.6666666667</v>
      </c>
      <c r="P57" s="525">
        <f>(VLOOKUP(A57,'2425 Funding Detail'!$A$4:$AA$20,24,FALSE)*7/12)*K57</f>
        <v>609937.84326374694</v>
      </c>
      <c r="Q57" s="65"/>
      <c r="R57" s="65">
        <f t="shared" si="9"/>
        <v>178432.99502487559</v>
      </c>
      <c r="S57" s="88"/>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x14ac:dyDescent="0.25">
      <c r="A58" s="74">
        <v>9257029</v>
      </c>
      <c r="B58" s="67" t="s">
        <v>278</v>
      </c>
      <c r="C58" s="121" t="s">
        <v>452</v>
      </c>
      <c r="D58" s="523">
        <f>VLOOKUP(A58,'2425 Band Moderations'!$B$5:$S$21,6,(FALSE))</f>
        <v>0</v>
      </c>
      <c r="E58" s="523">
        <f>VLOOKUP(A58,'2425 Band Moderations'!$B$5:$S$21,8,(FALSE))</f>
        <v>0</v>
      </c>
      <c r="F58" s="523">
        <f>VLOOKUP(A58,'2425 Band Moderations'!$B$5:$S$21,10,(FALSE))</f>
        <v>1</v>
      </c>
      <c r="G58" s="523">
        <f>VLOOKUP(A58,'2425 Band Moderations'!$B$5:$S$21,12,(FALSE))</f>
        <v>0</v>
      </c>
      <c r="H58" s="523">
        <f>VLOOKUP(A58,'2425 Band Moderations'!$B$5:$S$21,14,(FALSE))</f>
        <v>0</v>
      </c>
      <c r="I58" s="523">
        <f>VLOOKUP(A58,'2425 Band Moderations'!$B$5:$S$21,16,(FALSE))</f>
        <v>0</v>
      </c>
      <c r="J58" s="523">
        <f>VLOOKUP(A58,'2425 Band Moderations'!$B$5:$S$21,18,(FALSE))</f>
        <v>0</v>
      </c>
      <c r="K58" s="162">
        <v>82</v>
      </c>
      <c r="L58" s="524">
        <f t="shared" si="10"/>
        <v>767007.5</v>
      </c>
      <c r="M58" s="524">
        <v>0</v>
      </c>
      <c r="N58" s="524">
        <f t="shared" si="8"/>
        <v>767007.5</v>
      </c>
      <c r="O58" s="525">
        <f t="shared" si="11"/>
        <v>478333.33333333337</v>
      </c>
      <c r="P58" s="525">
        <f>(VLOOKUP(A58,'2425 Funding Detail'!$A$4:$AA$20,24,FALSE)*7/12)*K58</f>
        <v>617585.28906088741</v>
      </c>
      <c r="Q58" s="65"/>
      <c r="R58" s="65">
        <f t="shared" si="9"/>
        <v>0</v>
      </c>
      <c r="S58" s="88"/>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x14ac:dyDescent="0.25">
      <c r="A59" s="74">
        <v>9257032</v>
      </c>
      <c r="B59" s="67" t="s">
        <v>380</v>
      </c>
      <c r="C59" s="121" t="s">
        <v>452</v>
      </c>
      <c r="D59" s="523">
        <f>VLOOKUP(A59,'2425 Band Moderations'!$B$5:$S$21,6,(FALSE))</f>
        <v>0</v>
      </c>
      <c r="E59" s="523">
        <f>VLOOKUP(A59,'2425 Band Moderations'!$B$5:$S$21,8,(FALSE))</f>
        <v>0</v>
      </c>
      <c r="F59" s="523">
        <f>VLOOKUP(A59,'2425 Band Moderations'!$B$5:$S$21,10,(FALSE))</f>
        <v>1</v>
      </c>
      <c r="G59" s="523">
        <f>VLOOKUP(A59,'2425 Band Moderations'!$B$5:$S$21,12,(FALSE))</f>
        <v>0</v>
      </c>
      <c r="H59" s="523">
        <f>VLOOKUP(A59,'2425 Band Moderations'!$B$5:$S$21,14,(FALSE))</f>
        <v>0</v>
      </c>
      <c r="I59" s="523">
        <f>VLOOKUP(A59,'2425 Band Moderations'!$B$5:$S$21,16,(FALSE))</f>
        <v>0</v>
      </c>
      <c r="J59" s="523">
        <f>VLOOKUP(A59,'2425 Band Moderations'!$B$5:$S$21,18,(FALSE))</f>
        <v>0</v>
      </c>
      <c r="K59" s="162">
        <v>115</v>
      </c>
      <c r="L59" s="524">
        <f t="shared" si="10"/>
        <v>1075681.25</v>
      </c>
      <c r="M59" s="524">
        <v>0</v>
      </c>
      <c r="N59" s="524">
        <f t="shared" si="8"/>
        <v>1075681.25</v>
      </c>
      <c r="O59" s="525">
        <f t="shared" si="11"/>
        <v>670833.33333333337</v>
      </c>
      <c r="P59" s="525">
        <f>(VLOOKUP(A59,'2425 Funding Detail'!$A$4:$AA$20,24,FALSE)*7/12)*K59</f>
        <v>711737.59999999986</v>
      </c>
      <c r="Q59" s="65"/>
      <c r="R59" s="65">
        <f t="shared" si="9"/>
        <v>0</v>
      </c>
      <c r="S59" s="88"/>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x14ac:dyDescent="0.25">
      <c r="A60" s="74">
        <v>9257030</v>
      </c>
      <c r="B60" s="67" t="s">
        <v>383</v>
      </c>
      <c r="C60" s="121" t="s">
        <v>452</v>
      </c>
      <c r="D60" s="523">
        <f>VLOOKUP(A60,'2425 Band Moderations'!$B$5:$S$21,6,(FALSE))</f>
        <v>0</v>
      </c>
      <c r="E60" s="523">
        <f>VLOOKUP(A60,'2425 Band Moderations'!$B$5:$S$21,8,(FALSE))</f>
        <v>0</v>
      </c>
      <c r="F60" s="523">
        <f>VLOOKUP(A60,'2425 Band Moderations'!$B$5:$S$21,10,(FALSE))</f>
        <v>1</v>
      </c>
      <c r="G60" s="523">
        <f>VLOOKUP(A60,'2425 Band Moderations'!$B$5:$S$21,12,(FALSE))</f>
        <v>0</v>
      </c>
      <c r="H60" s="523">
        <f>VLOOKUP(A60,'2425 Band Moderations'!$B$5:$S$21,14,(FALSE))</f>
        <v>0</v>
      </c>
      <c r="I60" s="523">
        <f>VLOOKUP(A60,'2425 Band Moderations'!$B$5:$S$21,16,(FALSE))</f>
        <v>0</v>
      </c>
      <c r="J60" s="523">
        <f>VLOOKUP(A60,'2425 Band Moderations'!$B$5:$S$21,18,(FALSE))</f>
        <v>0</v>
      </c>
      <c r="K60" s="162">
        <v>76</v>
      </c>
      <c r="L60" s="524">
        <f t="shared" si="10"/>
        <v>710885</v>
      </c>
      <c r="M60" s="524">
        <v>0</v>
      </c>
      <c r="N60" s="524">
        <f t="shared" si="8"/>
        <v>710885</v>
      </c>
      <c r="O60" s="525">
        <f t="shared" si="11"/>
        <v>443333.33333333337</v>
      </c>
      <c r="P60" s="525">
        <f>(VLOOKUP(A60,'2425 Funding Detail'!$A$4:$AA$20,24,FALSE)*7/12)*K60</f>
        <v>583105.71746031742</v>
      </c>
      <c r="Q60" s="65"/>
      <c r="R60" s="65">
        <f t="shared" si="9"/>
        <v>0</v>
      </c>
      <c r="S60" s="88"/>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x14ac:dyDescent="0.25">
      <c r="A61" s="74">
        <v>9257028</v>
      </c>
      <c r="B61" s="67" t="s">
        <v>70</v>
      </c>
      <c r="C61" s="121">
        <v>5</v>
      </c>
      <c r="D61" s="523">
        <f>VLOOKUP(A61,'2425 Band Moderations'!$B$5:$S$21,6,(FALSE))</f>
        <v>4.6511627906976744E-2</v>
      </c>
      <c r="E61" s="523">
        <f>VLOOKUP(A61,'2425 Band Moderations'!$B$5:$S$21,8,(FALSE))</f>
        <v>0.37984496124031009</v>
      </c>
      <c r="F61" s="523">
        <f>VLOOKUP(A61,'2425 Band Moderations'!$B$5:$S$21,10,(FALSE))</f>
        <v>5.4263565891472867E-2</v>
      </c>
      <c r="G61" s="523">
        <f>VLOOKUP(A61,'2425 Band Moderations'!$B$5:$S$21,12,(FALSE))</f>
        <v>0.16279069767441862</v>
      </c>
      <c r="H61" s="523">
        <f>VLOOKUP(A61,'2425 Band Moderations'!$B$5:$S$21,14,(FALSE))</f>
        <v>6.2015503875968991E-2</v>
      </c>
      <c r="I61" s="523">
        <f>VLOOKUP(A61,'2425 Band Moderations'!$B$5:$S$21,16,(FALSE))</f>
        <v>0.13953488372093023</v>
      </c>
      <c r="J61" s="523">
        <f>VLOOKUP(A61,'2425 Band Moderations'!$B$5:$S$21,18,(FALSE))</f>
        <v>0.15503875968992248</v>
      </c>
      <c r="K61" s="162">
        <v>127</v>
      </c>
      <c r="L61" s="524">
        <f t="shared" si="10"/>
        <v>1064062.3624031008</v>
      </c>
      <c r="M61" s="524">
        <v>0</v>
      </c>
      <c r="N61" s="524">
        <f t="shared" si="8"/>
        <v>1064062.3624031008</v>
      </c>
      <c r="O61" s="525">
        <f t="shared" si="11"/>
        <v>740833.33333333337</v>
      </c>
      <c r="P61" s="525">
        <f>(VLOOKUP(A61,'2425 Funding Detail'!$A$4:$AA$20,24,FALSE)*7/12)*K61</f>
        <v>738403.66276982531</v>
      </c>
      <c r="Q61" s="65"/>
      <c r="R61" s="65">
        <f t="shared" si="9"/>
        <v>298722.37726098188</v>
      </c>
      <c r="S61" s="88"/>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x14ac:dyDescent="0.25">
      <c r="A62" s="74">
        <v>9257021</v>
      </c>
      <c r="B62" s="67" t="s">
        <v>71</v>
      </c>
      <c r="C62" s="121" t="s">
        <v>453</v>
      </c>
      <c r="D62" s="523">
        <f>VLOOKUP(A62,'2425 Band Moderations'!$B$5:$S$21,6,(FALSE))</f>
        <v>0.21264367816091953</v>
      </c>
      <c r="E62" s="523">
        <f>VLOOKUP(A62,'2425 Band Moderations'!$B$5:$S$21,8,(FALSE))</f>
        <v>0.52298850574712641</v>
      </c>
      <c r="F62" s="523">
        <f>VLOOKUP(A62,'2425 Band Moderations'!$B$5:$S$21,10,(FALSE))</f>
        <v>0.13218390804597702</v>
      </c>
      <c r="G62" s="523">
        <f>VLOOKUP(A62,'2425 Band Moderations'!$B$5:$S$21,12,(FALSE))</f>
        <v>6.8965517241379309E-2</v>
      </c>
      <c r="H62" s="523">
        <f>VLOOKUP(A62,'2425 Band Moderations'!$B$5:$S$21,14,(FALSE))</f>
        <v>2.2988505747126436E-2</v>
      </c>
      <c r="I62" s="523">
        <f>VLOOKUP(A62,'2425 Band Moderations'!$B$5:$S$21,16,(FALSE))</f>
        <v>2.8735632183908046E-2</v>
      </c>
      <c r="J62" s="523">
        <f>VLOOKUP(A62,'2425 Band Moderations'!$B$5:$S$21,18,(FALSE))</f>
        <v>1.1494252873563218E-2</v>
      </c>
      <c r="K62" s="162">
        <v>180</v>
      </c>
      <c r="L62" s="524">
        <f t="shared" si="10"/>
        <v>1054076.2931034481</v>
      </c>
      <c r="M62" s="524">
        <v>0</v>
      </c>
      <c r="N62" s="524">
        <f t="shared" si="8"/>
        <v>1054076.2931034481</v>
      </c>
      <c r="O62" s="525">
        <f t="shared" si="11"/>
        <v>1050000</v>
      </c>
      <c r="P62" s="525">
        <f>(VLOOKUP(A62,'2425 Funding Detail'!$A$4:$AA$20,24,FALSE)*7/12)*K62</f>
        <v>436955.22767421359</v>
      </c>
      <c r="Q62" s="65"/>
      <c r="R62" s="65">
        <f t="shared" si="9"/>
        <v>31388.96551724138</v>
      </c>
      <c r="S62" s="88"/>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x14ac:dyDescent="0.25">
      <c r="A63" s="74">
        <v>9257015</v>
      </c>
      <c r="B63" s="67" t="s">
        <v>72</v>
      </c>
      <c r="C63" s="121" t="s">
        <v>454</v>
      </c>
      <c r="D63" s="523">
        <f>VLOOKUP(A63,'2425 Band Moderations'!$B$5:$S$21,6,(FALSE))</f>
        <v>0.21982758620689655</v>
      </c>
      <c r="E63" s="523">
        <f>VLOOKUP(A63,'2425 Band Moderations'!$B$5:$S$21,8,(FALSE))</f>
        <v>0.44827586206896552</v>
      </c>
      <c r="F63" s="523">
        <f>VLOOKUP(A63,'2425 Band Moderations'!$B$5:$S$21,10,(FALSE))</f>
        <v>1.2931034482758621E-2</v>
      </c>
      <c r="G63" s="523">
        <f>VLOOKUP(A63,'2425 Band Moderations'!$B$5:$S$21,12,(FALSE))</f>
        <v>9.4827586206896547E-2</v>
      </c>
      <c r="H63" s="523">
        <f>VLOOKUP(A63,'2425 Band Moderations'!$B$5:$S$21,14,(FALSE))</f>
        <v>3.4482758620689655E-2</v>
      </c>
      <c r="I63" s="523">
        <f>VLOOKUP(A63,'2425 Band Moderations'!$B$5:$S$21,16,(FALSE))</f>
        <v>0.16379310344827586</v>
      </c>
      <c r="J63" s="523">
        <f>VLOOKUP(A63,'2425 Band Moderations'!$B$5:$S$21,18,(FALSE))</f>
        <v>2.5862068965517241E-2</v>
      </c>
      <c r="K63" s="162">
        <v>300</v>
      </c>
      <c r="L63" s="524">
        <f t="shared" si="10"/>
        <v>1909429.5258620691</v>
      </c>
      <c r="M63" s="524">
        <v>0</v>
      </c>
      <c r="N63" s="524">
        <f t="shared" si="8"/>
        <v>1909429.5258620691</v>
      </c>
      <c r="O63" s="525">
        <f t="shared" si="11"/>
        <v>1750000</v>
      </c>
      <c r="P63" s="525">
        <f>(VLOOKUP(A63,'2425 Funding Detail'!$A$4:$AA$20,24,FALSE)*7/12)*K63</f>
        <v>751455.04972538387</v>
      </c>
      <c r="Q63" s="65"/>
      <c r="R63" s="65">
        <f t="shared" si="9"/>
        <v>117708.62068965519</v>
      </c>
      <c r="S63" s="88"/>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x14ac:dyDescent="0.25">
      <c r="A64" s="74">
        <v>9257016</v>
      </c>
      <c r="B64" s="67" t="s">
        <v>73</v>
      </c>
      <c r="C64" s="121" t="s">
        <v>454</v>
      </c>
      <c r="D64" s="523">
        <f>VLOOKUP(A64,'2425 Band Moderations'!$B$5:$S$21,6,(FALSE))</f>
        <v>0.12179487179487179</v>
      </c>
      <c r="E64" s="523">
        <f>VLOOKUP(A64,'2425 Band Moderations'!$B$5:$S$21,8,(FALSE))</f>
        <v>0.22435897435897437</v>
      </c>
      <c r="F64" s="523">
        <f>VLOOKUP(A64,'2425 Band Moderations'!$B$5:$S$21,10,(FALSE))</f>
        <v>1.282051282051282E-2</v>
      </c>
      <c r="G64" s="523">
        <f>VLOOKUP(A64,'2425 Band Moderations'!$B$5:$S$21,12,(FALSE))</f>
        <v>0.23717948717948717</v>
      </c>
      <c r="H64" s="523">
        <f>VLOOKUP(A64,'2425 Band Moderations'!$B$5:$S$21,14,(FALSE))</f>
        <v>0.17307692307692307</v>
      </c>
      <c r="I64" s="523">
        <f>VLOOKUP(A64,'2425 Band Moderations'!$B$5:$S$21,16,(FALSE))</f>
        <v>1.282051282051282E-2</v>
      </c>
      <c r="J64" s="523">
        <f>VLOOKUP(A64,'2425 Band Moderations'!$B$5:$S$21,18,(FALSE))</f>
        <v>0.21794871794871795</v>
      </c>
      <c r="K64" s="162">
        <v>120</v>
      </c>
      <c r="L64" s="524">
        <f t="shared" si="10"/>
        <v>1080503.3974358975</v>
      </c>
      <c r="M64" s="524">
        <v>0</v>
      </c>
      <c r="N64" s="524">
        <f t="shared" si="8"/>
        <v>1080503.3974358975</v>
      </c>
      <c r="O64" s="525">
        <f t="shared" si="11"/>
        <v>700000</v>
      </c>
      <c r="P64" s="525">
        <f>(VLOOKUP(A64,'2425 Funding Detail'!$A$4:$AA$20,24,FALSE)*7/12)*K64</f>
        <v>746381.09956355719</v>
      </c>
      <c r="Q64" s="107" t="s">
        <v>62</v>
      </c>
      <c r="R64" s="65">
        <f t="shared" si="9"/>
        <v>396788.71794871794</v>
      </c>
      <c r="S64" s="88"/>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x14ac:dyDescent="0.25">
      <c r="A65" s="15"/>
      <c r="B65" s="15"/>
      <c r="C65" s="15"/>
      <c r="D65" s="15"/>
      <c r="E65" s="15"/>
      <c r="F65" s="107" t="s">
        <v>62</v>
      </c>
      <c r="G65" s="15"/>
      <c r="H65" s="15"/>
      <c r="I65" s="15"/>
      <c r="J65" s="107" t="s">
        <v>62</v>
      </c>
      <c r="K65" s="64"/>
      <c r="L65" s="15"/>
      <c r="M65" s="15"/>
      <c r="N65" s="107" t="s">
        <v>62</v>
      </c>
      <c r="O65" s="15"/>
      <c r="P65" s="15"/>
      <c r="Q65" s="15"/>
      <c r="R65" s="64"/>
      <c r="S65" s="100"/>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ht="13" x14ac:dyDescent="0.3">
      <c r="A66" s="34" t="s">
        <v>909</v>
      </c>
      <c r="B66" s="15"/>
      <c r="C66" s="15"/>
      <c r="D66" s="15"/>
      <c r="E66" s="15"/>
      <c r="F66" s="15"/>
      <c r="G66" s="15"/>
      <c r="H66" s="15"/>
      <c r="I66" s="15"/>
      <c r="J66" s="15"/>
      <c r="K66" s="64"/>
      <c r="L66" s="64"/>
      <c r="M66" s="15"/>
      <c r="N66" s="15"/>
      <c r="O66" s="15"/>
      <c r="P66" s="15"/>
      <c r="Q66" s="15"/>
      <c r="R66" s="64"/>
      <c r="S66" s="100"/>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x14ac:dyDescent="0.25">
      <c r="A67" s="15"/>
      <c r="B67" s="15"/>
      <c r="C67" s="15"/>
      <c r="D67" s="15"/>
      <c r="E67" s="15"/>
      <c r="F67" s="15"/>
      <c r="G67" s="15"/>
      <c r="H67" s="15"/>
      <c r="I67" s="15"/>
      <c r="J67" s="15"/>
      <c r="K67" s="35" t="s">
        <v>910</v>
      </c>
      <c r="L67" s="64"/>
      <c r="M67" s="15"/>
      <c r="N67" s="15"/>
      <c r="O67" s="1108" t="s">
        <v>77</v>
      </c>
      <c r="P67" s="1109"/>
      <c r="Q67" s="15"/>
      <c r="R67" s="64"/>
      <c r="S67" s="100"/>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37.5" x14ac:dyDescent="0.25">
      <c r="A68" s="85" t="s">
        <v>48</v>
      </c>
      <c r="B68" s="67" t="s">
        <v>49</v>
      </c>
      <c r="C68" s="68" t="s">
        <v>50</v>
      </c>
      <c r="D68" s="64" t="s">
        <v>280</v>
      </c>
      <c r="E68" s="64" t="s">
        <v>281</v>
      </c>
      <c r="F68" s="64" t="s">
        <v>282</v>
      </c>
      <c r="G68" s="64" t="s">
        <v>283</v>
      </c>
      <c r="H68" s="64" t="s">
        <v>284</v>
      </c>
      <c r="I68" s="64" t="s">
        <v>285</v>
      </c>
      <c r="J68" s="64" t="s">
        <v>286</v>
      </c>
      <c r="K68" s="73" t="s">
        <v>88</v>
      </c>
      <c r="L68" s="73" t="s">
        <v>98</v>
      </c>
      <c r="M68" s="73" t="s">
        <v>99</v>
      </c>
      <c r="N68" s="73" t="s">
        <v>98</v>
      </c>
      <c r="O68" s="73" t="s">
        <v>91</v>
      </c>
      <c r="P68" s="110" t="s">
        <v>100</v>
      </c>
      <c r="Q68" s="73"/>
      <c r="R68" s="73"/>
      <c r="S68" s="91"/>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x14ac:dyDescent="0.25">
      <c r="A69" s="74">
        <v>9257010</v>
      </c>
      <c r="B69" s="67" t="s">
        <v>439</v>
      </c>
      <c r="C69" s="121">
        <v>5</v>
      </c>
      <c r="D69" s="523">
        <f>VLOOKUP(A69,'2425 Band Moderations'!$B$5:$S$21,6,(FALSE))</f>
        <v>8.9041095890410954E-2</v>
      </c>
      <c r="E69" s="523">
        <f>VLOOKUP(A69,'2425 Band Moderations'!$B$5:$S$21,8,(FALSE))</f>
        <v>0.39726027397260272</v>
      </c>
      <c r="F69" s="523">
        <f>VLOOKUP(A69,'2425 Band Moderations'!$B$5:$S$21,10,(FALSE))</f>
        <v>4.7945205479452052E-2</v>
      </c>
      <c r="G69" s="523">
        <f>VLOOKUP(A69,'2425 Band Moderations'!$B$5:$S$21,12,(FALSE))</f>
        <v>0.21232876712328766</v>
      </c>
      <c r="H69" s="523">
        <f>VLOOKUP(A69,'2425 Band Moderations'!$B$5:$S$21,14,(FALSE))</f>
        <v>5.4794520547945202E-2</v>
      </c>
      <c r="I69" s="523">
        <f>VLOOKUP(A69,'2425 Band Moderations'!$B$5:$S$21,16,(FALSE))</f>
        <v>9.5890410958904104E-2</v>
      </c>
      <c r="J69" s="523">
        <f>VLOOKUP(A69,'2425 Band Moderations'!$B$5:$S$21,18,(FALSE))</f>
        <v>0.10273972602739725</v>
      </c>
      <c r="K69" s="162">
        <v>25</v>
      </c>
      <c r="L69" s="524">
        <f>((((K69*D69)*$G$88)+((K69*E69)*$G$90)+((K69*F69)*$G$92)+((K69*G69)*$G$94)+((K69*H69)*$G$96)+((K69*I69)*$G$98)+((K69*J69)*$G$100))*(8/12))</f>
        <v>221036.98630136979</v>
      </c>
      <c r="M69" s="524">
        <v>0</v>
      </c>
      <c r="N69" s="524">
        <f>SUM(L69:M69)</f>
        <v>221036.98630136979</v>
      </c>
      <c r="O69" s="525">
        <f>(K69*(8/12))*10000</f>
        <v>166666.66666666666</v>
      </c>
      <c r="P69" s="525">
        <f>(VLOOKUP(A69,'2425 Funding Detail'!$A$4:$AA$20,24,FALSE)*8/12)*K69</f>
        <v>141744.56808942475</v>
      </c>
      <c r="Q69" s="65"/>
      <c r="R69" s="65">
        <f>(J69*K69*$G$100)*8/12</f>
        <v>44534.246575342462</v>
      </c>
      <c r="S69" s="88"/>
      <c r="T69" s="93"/>
      <c r="U69" s="15"/>
      <c r="V69" s="105"/>
      <c r="W69" s="104"/>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x14ac:dyDescent="0.25">
      <c r="A70" s="74">
        <v>9257005</v>
      </c>
      <c r="B70" s="67" t="s">
        <v>63</v>
      </c>
      <c r="C70" s="121">
        <v>4</v>
      </c>
      <c r="D70" s="523">
        <f>VLOOKUP(A70,'2425 Band Moderations'!$B$5:$S$21,6,(FALSE))</f>
        <v>5.6338028169014086E-2</v>
      </c>
      <c r="E70" s="523">
        <f>VLOOKUP(A70,'2425 Band Moderations'!$B$5:$S$21,8,(FALSE))</f>
        <v>0.18309859154929578</v>
      </c>
      <c r="F70" s="523">
        <f>VLOOKUP(A70,'2425 Band Moderations'!$B$5:$S$21,10,(FALSE))</f>
        <v>0.11267605633802817</v>
      </c>
      <c r="G70" s="523">
        <f>VLOOKUP(A70,'2425 Band Moderations'!$B$5:$S$21,12,(FALSE))</f>
        <v>0.18309859154929578</v>
      </c>
      <c r="H70" s="523">
        <f>VLOOKUP(A70,'2425 Band Moderations'!$B$5:$S$21,14,(FALSE))</f>
        <v>0.12676056338028169</v>
      </c>
      <c r="I70" s="523">
        <f>VLOOKUP(A70,'2425 Band Moderations'!$B$5:$S$21,16,(FALSE))</f>
        <v>0.21126760563380281</v>
      </c>
      <c r="J70" s="523">
        <f>VLOOKUP(A70,'2425 Band Moderations'!$B$5:$S$21,18,(FALSE))</f>
        <v>0.12676056338028169</v>
      </c>
      <c r="K70" s="162">
        <v>18</v>
      </c>
      <c r="L70" s="524">
        <f>((((K70*D70)*$G$88)+((K70*E70)*$G$90)+((K70*F70)*$G$92)+((K70*G70)*$G$94)+((K70*H70)*$G$96)+((K70*I70)*$G$98)+((K70*J70)*$G$100))*(8/12))</f>
        <v>188378.19718309856</v>
      </c>
      <c r="M70" s="524">
        <v>0</v>
      </c>
      <c r="N70" s="524">
        <f>SUM(L70:M70)</f>
        <v>188378.19718309856</v>
      </c>
      <c r="O70" s="525">
        <f t="shared" ref="O70:O85" si="12">(K70*(8/12))*10000</f>
        <v>120000</v>
      </c>
      <c r="P70" s="525">
        <f>(VLOOKUP(A70,'2425 Funding Detail'!$A$4:$AA$20,24,FALSE)*8/12)*K70</f>
        <v>165865.53036942711</v>
      </c>
      <c r="Q70" s="65"/>
      <c r="R70" s="65">
        <f>(J70*K70*$G$100)*8/12</f>
        <v>39561.464788732395</v>
      </c>
      <c r="S70" s="88"/>
      <c r="T70" s="93"/>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row>
    <row r="71" spans="1:56" x14ac:dyDescent="0.25">
      <c r="A71" s="74">
        <v>9257025</v>
      </c>
      <c r="B71" s="67" t="s">
        <v>64</v>
      </c>
      <c r="C71" s="121">
        <v>4</v>
      </c>
      <c r="D71" s="523">
        <f>VLOOKUP(A71,'2425 Band Moderations'!$B$5:$S$21,6,(FALSE))</f>
        <v>8.3333333333333329E-2</v>
      </c>
      <c r="E71" s="523">
        <f>VLOOKUP(A71,'2425 Band Moderations'!$B$5:$S$21,8,(FALSE))</f>
        <v>0.64583333333333337</v>
      </c>
      <c r="F71" s="523">
        <f>VLOOKUP(A71,'2425 Band Moderations'!$B$5:$S$21,10,(FALSE))</f>
        <v>4.1666666666666664E-2</v>
      </c>
      <c r="G71" s="523">
        <f>VLOOKUP(A71,'2425 Band Moderations'!$B$5:$S$21,12,(FALSE))</f>
        <v>0.125</v>
      </c>
      <c r="H71" s="523">
        <f>VLOOKUP(A71,'2425 Band Moderations'!$B$5:$S$21,14,(FALSE))</f>
        <v>0</v>
      </c>
      <c r="I71" s="523">
        <f>VLOOKUP(A71,'2425 Band Moderations'!$B$5:$S$21,16,(FALSE))</f>
        <v>7.2916666666666671E-2</v>
      </c>
      <c r="J71" s="523">
        <f>VLOOKUP(A71,'2425 Band Moderations'!$B$5:$S$21,18,(FALSE))</f>
        <v>3.125E-2</v>
      </c>
      <c r="K71" s="162">
        <v>22</v>
      </c>
      <c r="L71" s="524">
        <f>((((K71*D71)*$G$88)+((K71*E71)*$G$90)+((K71*F71)*$G$92)+((K71*G71)*$G$94)+((K71*H71)*$G$96)+((K71*I71)*$G$98)+((K71*J71)*$G$100))*(8/12))</f>
        <v>154328.625</v>
      </c>
      <c r="M71" s="524">
        <v>0</v>
      </c>
      <c r="N71" s="524">
        <f t="shared" ref="N71:N85" si="13">SUM(L71:M71)</f>
        <v>154328.625</v>
      </c>
      <c r="O71" s="525">
        <f t="shared" si="12"/>
        <v>146666.66666666666</v>
      </c>
      <c r="P71" s="525">
        <f>(VLOOKUP(A71,'2425 Funding Detail'!$A$4:$AA$20,24,FALSE)*8/12)*K71</f>
        <v>94285.846145912234</v>
      </c>
      <c r="Q71" s="65"/>
      <c r="R71" s="65">
        <f>(J71*K71*$G$100)*8/12</f>
        <v>11920.333333333334</v>
      </c>
      <c r="S71" s="88"/>
      <c r="T71" s="93"/>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row>
    <row r="72" spans="1:56" x14ac:dyDescent="0.25">
      <c r="A72" s="74">
        <v>9257024</v>
      </c>
      <c r="B72" s="67" t="s">
        <v>66</v>
      </c>
      <c r="C72" s="121">
        <v>4</v>
      </c>
      <c r="D72" s="523">
        <f>VLOOKUP(A72,'2425 Band Moderations'!$B$5:$S$21,6,(FALSE))</f>
        <v>0.10526315789473684</v>
      </c>
      <c r="E72" s="523">
        <f>VLOOKUP(A72,'2425 Band Moderations'!$B$5:$S$21,8,(FALSE))</f>
        <v>0.56842105263157894</v>
      </c>
      <c r="F72" s="523">
        <f>VLOOKUP(A72,'2425 Band Moderations'!$B$5:$S$21,10,(FALSE))</f>
        <v>2.1052631578947368E-2</v>
      </c>
      <c r="G72" s="523">
        <f>VLOOKUP(A72,'2425 Band Moderations'!$B$5:$S$21,12,(FALSE))</f>
        <v>0.14736842105263157</v>
      </c>
      <c r="H72" s="523">
        <f>VLOOKUP(A72,'2425 Band Moderations'!$B$5:$S$21,14,(FALSE))</f>
        <v>6.3157894736842107E-2</v>
      </c>
      <c r="I72" s="523">
        <f>VLOOKUP(A72,'2425 Band Moderations'!$B$5:$S$21,16,(FALSE))</f>
        <v>4.2105263157894736E-2</v>
      </c>
      <c r="J72" s="523">
        <f>VLOOKUP(A72,'2425 Band Moderations'!$B$5:$S$21,18,(FALSE))</f>
        <v>5.2631578947368418E-2</v>
      </c>
      <c r="K72" s="162">
        <v>17</v>
      </c>
      <c r="L72" s="524">
        <f t="shared" ref="L72:L85" si="14">((((K72*D72)*$G$88)+((K72*E72)*$G$90)+((K72*F72)*$G$92)+((K72*G72)*$G$94)+((K72*H72)*$G$96)+((K72*I72)*$G$98)+((K72*J72)*$G$100))*(8/12))</f>
        <v>126287.69122807018</v>
      </c>
      <c r="M72" s="524">
        <v>0</v>
      </c>
      <c r="N72" s="524">
        <f t="shared" si="13"/>
        <v>126287.69122807018</v>
      </c>
      <c r="O72" s="525">
        <f t="shared" si="12"/>
        <v>113333.33333333333</v>
      </c>
      <c r="P72" s="525">
        <f>(VLOOKUP(A72,'2425 Funding Detail'!$A$4:$AA$20,24,FALSE)*8/12)*K72</f>
        <v>79376.486176065373</v>
      </c>
      <c r="Q72" s="65"/>
      <c r="R72" s="65">
        <f t="shared" ref="R72:R85" si="15">(J72*K72*$G$100)*8/12</f>
        <v>15513.543859649122</v>
      </c>
      <c r="S72" s="88"/>
      <c r="T72" s="93"/>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row>
    <row r="73" spans="1:56" x14ac:dyDescent="0.25">
      <c r="A73" s="74">
        <v>9257031</v>
      </c>
      <c r="B73" s="67" t="s">
        <v>84</v>
      </c>
      <c r="C73" s="121">
        <v>5</v>
      </c>
      <c r="D73" s="523">
        <f>VLOOKUP(A73,'2425 Band Moderations'!$B$5:$S$21,6,(FALSE))</f>
        <v>0</v>
      </c>
      <c r="E73" s="523">
        <f>VLOOKUP(A73,'2425 Band Moderations'!$B$5:$S$21,8,(FALSE))</f>
        <v>0</v>
      </c>
      <c r="F73" s="523">
        <f>VLOOKUP(A73,'2425 Band Moderations'!$B$5:$S$21,10,(FALSE))</f>
        <v>1</v>
      </c>
      <c r="G73" s="523">
        <f>VLOOKUP(A73,'2425 Band Moderations'!$B$5:$S$21,12,(FALSE))</f>
        <v>0</v>
      </c>
      <c r="H73" s="523">
        <f>VLOOKUP(A73,'2425 Band Moderations'!$B$5:$S$21,14,(FALSE))</f>
        <v>0</v>
      </c>
      <c r="I73" s="523">
        <f>VLOOKUP(A73,'2425 Band Moderations'!$B$5:$S$21,16,(FALSE))</f>
        <v>0</v>
      </c>
      <c r="J73" s="523">
        <f>VLOOKUP(A73,'2425 Band Moderations'!$B$5:$S$21,18,(FALSE))</f>
        <v>0</v>
      </c>
      <c r="K73" s="162">
        <v>0</v>
      </c>
      <c r="L73" s="524">
        <f t="shared" si="14"/>
        <v>0</v>
      </c>
      <c r="M73" s="524">
        <v>0</v>
      </c>
      <c r="N73" s="524">
        <f t="shared" si="13"/>
        <v>0</v>
      </c>
      <c r="O73" s="525">
        <f t="shared" si="12"/>
        <v>0</v>
      </c>
      <c r="P73" s="525">
        <f>(VLOOKUP(A73,'2425 Funding Detail'!$A$4:$AA$20,24,FALSE)*8/12)*K73</f>
        <v>0</v>
      </c>
      <c r="Q73" s="65"/>
      <c r="R73" s="65">
        <f t="shared" si="15"/>
        <v>0</v>
      </c>
      <c r="S73" s="88"/>
      <c r="T73" s="93"/>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row>
    <row r="74" spans="1:56" x14ac:dyDescent="0.25">
      <c r="A74" s="74">
        <v>9257033</v>
      </c>
      <c r="B74" s="67" t="s">
        <v>74</v>
      </c>
      <c r="C74" s="121" t="s">
        <v>451</v>
      </c>
      <c r="D74" s="523">
        <f>VLOOKUP(A74,'2425 Band Moderations'!$B$5:$S$21,6,(FALSE))</f>
        <v>0.12389380530973451</v>
      </c>
      <c r="E74" s="523">
        <f>VLOOKUP(A74,'2425 Band Moderations'!$B$5:$S$21,8,(FALSE))</f>
        <v>0.68141592920353977</v>
      </c>
      <c r="F74" s="523">
        <f>VLOOKUP(A74,'2425 Band Moderations'!$B$5:$S$21,10,(FALSE))</f>
        <v>1.7699115044247787E-2</v>
      </c>
      <c r="G74" s="523">
        <f>VLOOKUP(A74,'2425 Band Moderations'!$B$5:$S$21,12,(FALSE))</f>
        <v>0.10619469026548672</v>
      </c>
      <c r="H74" s="523">
        <f>VLOOKUP(A74,'2425 Band Moderations'!$B$5:$S$21,14,(FALSE))</f>
        <v>3.5398230088495575E-2</v>
      </c>
      <c r="I74" s="523">
        <f>VLOOKUP(A74,'2425 Band Moderations'!$B$5:$S$21,16,(FALSE))</f>
        <v>8.8495575221238937E-3</v>
      </c>
      <c r="J74" s="523">
        <f>VLOOKUP(A74,'2425 Band Moderations'!$B$5:$S$21,18,(FALSE))</f>
        <v>2.6548672566371681E-2</v>
      </c>
      <c r="K74" s="162">
        <v>0</v>
      </c>
      <c r="L74" s="524">
        <f t="shared" si="14"/>
        <v>0</v>
      </c>
      <c r="M74" s="524">
        <v>0</v>
      </c>
      <c r="N74" s="524">
        <f t="shared" si="13"/>
        <v>0</v>
      </c>
      <c r="O74" s="525">
        <f t="shared" si="12"/>
        <v>0</v>
      </c>
      <c r="P74" s="525">
        <f>(VLOOKUP(A74,'2425 Funding Detail'!$A$4:$AA$20,24,FALSE)*8/12)*K74</f>
        <v>0</v>
      </c>
      <c r="Q74" s="65"/>
      <c r="R74" s="65">
        <f t="shared" si="15"/>
        <v>0</v>
      </c>
      <c r="S74" s="88"/>
      <c r="T74" s="93"/>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row>
    <row r="75" spans="1:56" x14ac:dyDescent="0.25">
      <c r="A75" s="74">
        <v>9257008</v>
      </c>
      <c r="B75" s="67" t="s">
        <v>67</v>
      </c>
      <c r="C75" s="121">
        <v>4</v>
      </c>
      <c r="D75" s="523">
        <f>VLOOKUP(A75,'2425 Band Moderations'!$B$5:$S$21,6,(FALSE))</f>
        <v>8.9108910891089105E-2</v>
      </c>
      <c r="E75" s="523">
        <f>VLOOKUP(A75,'2425 Band Moderations'!$B$5:$S$21,8,(FALSE))</f>
        <v>0.64356435643564358</v>
      </c>
      <c r="F75" s="523">
        <f>VLOOKUP(A75,'2425 Band Moderations'!$B$5:$S$21,10,(FALSE))</f>
        <v>4.9504950495049507E-2</v>
      </c>
      <c r="G75" s="523">
        <f>VLOOKUP(A75,'2425 Band Moderations'!$B$5:$S$21,12,(FALSE))</f>
        <v>0.13861386138613863</v>
      </c>
      <c r="H75" s="523">
        <f>VLOOKUP(A75,'2425 Band Moderations'!$B$5:$S$21,14,(FALSE))</f>
        <v>0</v>
      </c>
      <c r="I75" s="523">
        <f>VLOOKUP(A75,'2425 Band Moderations'!$B$5:$S$21,16,(FALSE))</f>
        <v>7.9207920792079209E-2</v>
      </c>
      <c r="J75" s="523">
        <f>VLOOKUP(A75,'2425 Band Moderations'!$B$5:$S$21,18,(FALSE))</f>
        <v>0</v>
      </c>
      <c r="K75" s="162">
        <v>0</v>
      </c>
      <c r="L75" s="524">
        <f t="shared" si="14"/>
        <v>0</v>
      </c>
      <c r="M75" s="524">
        <v>0</v>
      </c>
      <c r="N75" s="524">
        <f t="shared" si="13"/>
        <v>0</v>
      </c>
      <c r="O75" s="525">
        <f t="shared" si="12"/>
        <v>0</v>
      </c>
      <c r="P75" s="525">
        <f>(VLOOKUP(A75,'2425 Funding Detail'!$A$4:$AA$20,24,FALSE)*8/12)*K75</f>
        <v>0</v>
      </c>
      <c r="Q75" s="65"/>
      <c r="R75" s="65">
        <f t="shared" si="15"/>
        <v>0</v>
      </c>
      <c r="S75" s="88"/>
      <c r="T75" s="93"/>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row>
    <row r="76" spans="1:56" x14ac:dyDescent="0.25">
      <c r="A76" s="74">
        <v>9257034</v>
      </c>
      <c r="B76" s="67" t="s">
        <v>75</v>
      </c>
      <c r="C76" s="121" t="s">
        <v>451</v>
      </c>
      <c r="D76" s="523">
        <f>VLOOKUP(A76,'2425 Band Moderations'!$B$5:$S$21,6,(FALSE))</f>
        <v>0.37692307692307692</v>
      </c>
      <c r="E76" s="523">
        <f>VLOOKUP(A76,'2425 Band Moderations'!$B$5:$S$21,8,(FALSE))</f>
        <v>0.4</v>
      </c>
      <c r="F76" s="523">
        <f>VLOOKUP(A76,'2425 Band Moderations'!$B$5:$S$21,10,(FALSE))</f>
        <v>7.6923076923076927E-2</v>
      </c>
      <c r="G76" s="523">
        <f>VLOOKUP(A76,'2425 Band Moderations'!$B$5:$S$21,12,(FALSE))</f>
        <v>6.1538461538461542E-2</v>
      </c>
      <c r="H76" s="523">
        <f>VLOOKUP(A76,'2425 Band Moderations'!$B$5:$S$21,14,(FALSE))</f>
        <v>1.5384615384615385E-2</v>
      </c>
      <c r="I76" s="523">
        <f>VLOOKUP(A76,'2425 Band Moderations'!$B$5:$S$21,16,(FALSE))</f>
        <v>5.3846153846153849E-2</v>
      </c>
      <c r="J76" s="523">
        <f>VLOOKUP(A76,'2425 Band Moderations'!$B$5:$S$21,18,(FALSE))</f>
        <v>1.5384615384615385E-2</v>
      </c>
      <c r="K76" s="162">
        <v>28</v>
      </c>
      <c r="L76" s="524">
        <f t="shared" si="14"/>
        <v>178577.10769230771</v>
      </c>
      <c r="M76" s="524">
        <v>0</v>
      </c>
      <c r="N76" s="524">
        <f t="shared" si="13"/>
        <v>178577.10769230771</v>
      </c>
      <c r="O76" s="525">
        <f t="shared" si="12"/>
        <v>186666.66666666666</v>
      </c>
      <c r="P76" s="525">
        <f>(VLOOKUP(A76,'2425 Funding Detail'!$A$4:$AA$20,24,FALSE)*8/12)*K76</f>
        <v>89033.457913890219</v>
      </c>
      <c r="Q76" s="65"/>
      <c r="R76" s="65">
        <f t="shared" si="15"/>
        <v>7468.9641025641031</v>
      </c>
      <c r="S76" s="88"/>
      <c r="T76" s="93"/>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row>
    <row r="77" spans="1:56" x14ac:dyDescent="0.25">
      <c r="A77" s="74">
        <v>9257002</v>
      </c>
      <c r="B77" s="67" t="s">
        <v>68</v>
      </c>
      <c r="C77" s="121">
        <v>5</v>
      </c>
      <c r="D77" s="523">
        <f>VLOOKUP(A77,'2425 Band Moderations'!$B$5:$S$21,6,(FALSE))</f>
        <v>0.15384615384615385</v>
      </c>
      <c r="E77" s="523">
        <f>VLOOKUP(A77,'2425 Band Moderations'!$B$5:$S$21,8,(FALSE))</f>
        <v>0.53846153846153844</v>
      </c>
      <c r="F77" s="523">
        <f>VLOOKUP(A77,'2425 Band Moderations'!$B$5:$S$21,10,(FALSE))</f>
        <v>0.12820512820512819</v>
      </c>
      <c r="G77" s="523">
        <f>VLOOKUP(A77,'2425 Band Moderations'!$B$5:$S$21,12,(FALSE))</f>
        <v>5.128205128205128E-2</v>
      </c>
      <c r="H77" s="523">
        <f>VLOOKUP(A77,'2425 Band Moderations'!$B$5:$S$21,14,(FALSE))</f>
        <v>2.564102564102564E-2</v>
      </c>
      <c r="I77" s="523">
        <f>VLOOKUP(A77,'2425 Band Moderations'!$B$5:$S$21,16,(FALSE))</f>
        <v>8.9743589743589744E-2</v>
      </c>
      <c r="J77" s="523">
        <f>VLOOKUP(A77,'2425 Band Moderations'!$B$5:$S$21,18,(FALSE))</f>
        <v>1.282051282051282E-2</v>
      </c>
      <c r="K77" s="162">
        <v>0</v>
      </c>
      <c r="L77" s="524">
        <f t="shared" si="14"/>
        <v>0</v>
      </c>
      <c r="M77" s="524">
        <v>0</v>
      </c>
      <c r="N77" s="524">
        <f t="shared" si="13"/>
        <v>0</v>
      </c>
      <c r="O77" s="525">
        <f t="shared" si="12"/>
        <v>0</v>
      </c>
      <c r="P77" s="525">
        <f>(VLOOKUP(A77,'2425 Funding Detail'!$A$4:$AA$20,24,FALSE)*8/12)*K77</f>
        <v>0</v>
      </c>
      <c r="Q77" s="65"/>
      <c r="R77" s="65">
        <f t="shared" si="15"/>
        <v>0</v>
      </c>
      <c r="S77" s="88"/>
      <c r="T77" s="93"/>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row>
    <row r="78" spans="1:56" x14ac:dyDescent="0.25">
      <c r="A78" s="74">
        <v>9257009</v>
      </c>
      <c r="B78" s="67" t="s">
        <v>334</v>
      </c>
      <c r="C78" s="121" t="s">
        <v>451</v>
      </c>
      <c r="D78" s="523">
        <f>VLOOKUP(A78,'2425 Band Moderations'!$B$5:$S$21,6,(FALSE))</f>
        <v>0.18407960199004975</v>
      </c>
      <c r="E78" s="523">
        <f>VLOOKUP(A78,'2425 Band Moderations'!$B$5:$S$21,8,(FALSE))</f>
        <v>0.49751243781094528</v>
      </c>
      <c r="F78" s="523">
        <f>VLOOKUP(A78,'2425 Band Moderations'!$B$5:$S$21,10,(FALSE))</f>
        <v>6.965174129353234E-2</v>
      </c>
      <c r="G78" s="523">
        <f>VLOOKUP(A78,'2425 Band Moderations'!$B$5:$S$21,12,(FALSE))</f>
        <v>6.965174129353234E-2</v>
      </c>
      <c r="H78" s="523">
        <f>VLOOKUP(A78,'2425 Band Moderations'!$B$5:$S$21,14,(FALSE))</f>
        <v>3.482587064676617E-2</v>
      </c>
      <c r="I78" s="523">
        <f>VLOOKUP(A78,'2425 Band Moderations'!$B$5:$S$21,16,(FALSE))</f>
        <v>8.45771144278607E-2</v>
      </c>
      <c r="J78" s="523">
        <f>VLOOKUP(A78,'2425 Band Moderations'!$B$5:$S$21,18,(FALSE))</f>
        <v>5.9701492537313432E-2</v>
      </c>
      <c r="K78" s="162">
        <v>19</v>
      </c>
      <c r="L78" s="524">
        <f t="shared" si="14"/>
        <v>140216.59701492536</v>
      </c>
      <c r="M78" s="524">
        <v>0</v>
      </c>
      <c r="N78" s="524">
        <f t="shared" si="13"/>
        <v>140216.59701492536</v>
      </c>
      <c r="O78" s="525">
        <f t="shared" si="12"/>
        <v>126666.66666666666</v>
      </c>
      <c r="P78" s="525">
        <f>(VLOOKUP(A78,'2425 Funding Detail'!$A$4:$AA$20,24,FALSE)*8/12)*K78</f>
        <v>67230.277140021441</v>
      </c>
      <c r="Q78" s="65"/>
      <c r="R78" s="65">
        <f t="shared" si="15"/>
        <v>19667.741293532337</v>
      </c>
      <c r="S78" s="88"/>
      <c r="T78" s="93"/>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row>
    <row r="79" spans="1:56" x14ac:dyDescent="0.25">
      <c r="A79" s="74">
        <v>9257029</v>
      </c>
      <c r="B79" s="67" t="s">
        <v>278</v>
      </c>
      <c r="C79" s="121" t="s">
        <v>452</v>
      </c>
      <c r="D79" s="523">
        <f>VLOOKUP(A79,'2425 Band Moderations'!$B$5:$S$21,6,(FALSE))</f>
        <v>0</v>
      </c>
      <c r="E79" s="523">
        <f>VLOOKUP(A79,'2425 Band Moderations'!$B$5:$S$21,8,(FALSE))</f>
        <v>0</v>
      </c>
      <c r="F79" s="523">
        <f>VLOOKUP(A79,'2425 Band Moderations'!$B$5:$S$21,10,(FALSE))</f>
        <v>1</v>
      </c>
      <c r="G79" s="523">
        <f>VLOOKUP(A79,'2425 Band Moderations'!$B$5:$S$21,12,(FALSE))</f>
        <v>0</v>
      </c>
      <c r="H79" s="523">
        <f>VLOOKUP(A79,'2425 Band Moderations'!$B$5:$S$21,14,(FALSE))</f>
        <v>0</v>
      </c>
      <c r="I79" s="523">
        <f>VLOOKUP(A79,'2425 Band Moderations'!$B$5:$S$21,16,(FALSE))</f>
        <v>0</v>
      </c>
      <c r="J79" s="523">
        <f>VLOOKUP(A79,'2425 Band Moderations'!$B$5:$S$21,18,(FALSE))</f>
        <v>0</v>
      </c>
      <c r="K79" s="162">
        <v>0</v>
      </c>
      <c r="L79" s="524">
        <f t="shared" si="14"/>
        <v>0</v>
      </c>
      <c r="M79" s="524">
        <v>0</v>
      </c>
      <c r="N79" s="524">
        <f t="shared" si="13"/>
        <v>0</v>
      </c>
      <c r="O79" s="525">
        <f t="shared" si="12"/>
        <v>0</v>
      </c>
      <c r="P79" s="525">
        <f>(VLOOKUP(A79,'2425 Funding Detail'!$A$4:$AA$20,24,FALSE)*8/12)*K79</f>
        <v>0</v>
      </c>
      <c r="Q79" s="65"/>
      <c r="R79" s="65">
        <f t="shared" si="15"/>
        <v>0</v>
      </c>
      <c r="S79" s="88"/>
      <c r="T79" s="93"/>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row>
    <row r="80" spans="1:56" x14ac:dyDescent="0.25">
      <c r="A80" s="74">
        <v>9257032</v>
      </c>
      <c r="B80" s="67" t="s">
        <v>380</v>
      </c>
      <c r="C80" s="121" t="s">
        <v>452</v>
      </c>
      <c r="D80" s="523">
        <f>VLOOKUP(A80,'2425 Band Moderations'!$B$5:$S$21,6,(FALSE))</f>
        <v>0</v>
      </c>
      <c r="E80" s="523">
        <f>VLOOKUP(A80,'2425 Band Moderations'!$B$5:$S$21,8,(FALSE))</f>
        <v>0</v>
      </c>
      <c r="F80" s="523">
        <f>VLOOKUP(A80,'2425 Band Moderations'!$B$5:$S$21,10,(FALSE))</f>
        <v>1</v>
      </c>
      <c r="G80" s="523">
        <f>VLOOKUP(A80,'2425 Band Moderations'!$B$5:$S$21,12,(FALSE))</f>
        <v>0</v>
      </c>
      <c r="H80" s="523">
        <f>VLOOKUP(A80,'2425 Band Moderations'!$B$5:$S$21,14,(FALSE))</f>
        <v>0</v>
      </c>
      <c r="I80" s="523">
        <f>VLOOKUP(A80,'2425 Band Moderations'!$B$5:$S$21,16,(FALSE))</f>
        <v>0</v>
      </c>
      <c r="J80" s="523">
        <f>VLOOKUP(A80,'2425 Band Moderations'!$B$5:$S$21,18,(FALSE))</f>
        <v>0</v>
      </c>
      <c r="K80" s="162">
        <v>0</v>
      </c>
      <c r="L80" s="524">
        <f t="shared" si="14"/>
        <v>0</v>
      </c>
      <c r="M80" s="524">
        <v>0</v>
      </c>
      <c r="N80" s="524">
        <f t="shared" si="13"/>
        <v>0</v>
      </c>
      <c r="O80" s="525">
        <f t="shared" si="12"/>
        <v>0</v>
      </c>
      <c r="P80" s="525">
        <f>(VLOOKUP(A80,'2425 Funding Detail'!$A$4:$AA$20,24,FALSE)*8/12)*K80</f>
        <v>0</v>
      </c>
      <c r="Q80" s="65"/>
      <c r="R80" s="65">
        <f t="shared" si="15"/>
        <v>0</v>
      </c>
      <c r="S80" s="88"/>
      <c r="T80" s="93"/>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row>
    <row r="81" spans="1:56" x14ac:dyDescent="0.25">
      <c r="A81" s="74">
        <v>9257030</v>
      </c>
      <c r="B81" s="67" t="s">
        <v>383</v>
      </c>
      <c r="C81" s="121" t="s">
        <v>452</v>
      </c>
      <c r="D81" s="523">
        <f>VLOOKUP(A81,'2425 Band Moderations'!$B$5:$S$21,6,(FALSE))</f>
        <v>0</v>
      </c>
      <c r="E81" s="523">
        <f>VLOOKUP(A81,'2425 Band Moderations'!$B$5:$S$21,8,(FALSE))</f>
        <v>0</v>
      </c>
      <c r="F81" s="523">
        <f>VLOOKUP(A81,'2425 Band Moderations'!$B$5:$S$21,10,(FALSE))</f>
        <v>1</v>
      </c>
      <c r="G81" s="523">
        <f>VLOOKUP(A81,'2425 Band Moderations'!$B$5:$S$21,12,(FALSE))</f>
        <v>0</v>
      </c>
      <c r="H81" s="523">
        <f>VLOOKUP(A81,'2425 Band Moderations'!$B$5:$S$21,14,(FALSE))</f>
        <v>0</v>
      </c>
      <c r="I81" s="523">
        <f>VLOOKUP(A81,'2425 Band Moderations'!$B$5:$S$21,16,(FALSE))</f>
        <v>0</v>
      </c>
      <c r="J81" s="523">
        <f>VLOOKUP(A81,'2425 Band Moderations'!$B$5:$S$21,18,(FALSE))</f>
        <v>0</v>
      </c>
      <c r="K81" s="162">
        <v>0</v>
      </c>
      <c r="L81" s="524">
        <f t="shared" si="14"/>
        <v>0</v>
      </c>
      <c r="M81" s="524">
        <v>0</v>
      </c>
      <c r="N81" s="524">
        <f t="shared" si="13"/>
        <v>0</v>
      </c>
      <c r="O81" s="525">
        <f t="shared" si="12"/>
        <v>0</v>
      </c>
      <c r="P81" s="525">
        <f>(VLOOKUP(A81,'2425 Funding Detail'!$A$4:$AA$20,24,FALSE)*8/12)*K81</f>
        <v>0</v>
      </c>
      <c r="Q81" s="65"/>
      <c r="R81" s="65">
        <f t="shared" si="15"/>
        <v>0</v>
      </c>
      <c r="S81" s="88"/>
      <c r="T81" s="93"/>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row>
    <row r="82" spans="1:56" x14ac:dyDescent="0.25">
      <c r="A82" s="74">
        <v>9257028</v>
      </c>
      <c r="B82" s="67" t="s">
        <v>70</v>
      </c>
      <c r="C82" s="121">
        <v>5</v>
      </c>
      <c r="D82" s="523">
        <f>VLOOKUP(A82,'2425 Band Moderations'!$B$5:$S$21,6,(FALSE))</f>
        <v>4.6511627906976744E-2</v>
      </c>
      <c r="E82" s="523">
        <f>VLOOKUP(A82,'2425 Band Moderations'!$B$5:$S$21,8,(FALSE))</f>
        <v>0.37984496124031009</v>
      </c>
      <c r="F82" s="523">
        <f>VLOOKUP(A82,'2425 Band Moderations'!$B$5:$S$21,10,(FALSE))</f>
        <v>5.4263565891472867E-2</v>
      </c>
      <c r="G82" s="523">
        <f>VLOOKUP(A82,'2425 Band Moderations'!$B$5:$S$21,12,(FALSE))</f>
        <v>0.16279069767441862</v>
      </c>
      <c r="H82" s="523">
        <f>VLOOKUP(A82,'2425 Band Moderations'!$B$5:$S$21,14,(FALSE))</f>
        <v>6.2015503875968991E-2</v>
      </c>
      <c r="I82" s="523">
        <f>VLOOKUP(A82,'2425 Band Moderations'!$B$5:$S$21,16,(FALSE))</f>
        <v>0.13953488372093023</v>
      </c>
      <c r="J82" s="523">
        <f>VLOOKUP(A82,'2425 Band Moderations'!$B$5:$S$21,18,(FALSE))</f>
        <v>0.15503875968992248</v>
      </c>
      <c r="K82" s="162">
        <v>18</v>
      </c>
      <c r="L82" s="524">
        <f t="shared" si="14"/>
        <v>172356.5581395349</v>
      </c>
      <c r="M82" s="524">
        <v>0</v>
      </c>
      <c r="N82" s="524">
        <f t="shared" si="13"/>
        <v>172356.5581395349</v>
      </c>
      <c r="O82" s="525">
        <f t="shared" si="12"/>
        <v>120000</v>
      </c>
      <c r="P82" s="525">
        <f>(VLOOKUP(A82,'2425 Funding Detail'!$A$4:$AA$20,24,FALSE)*8/12)*K82</f>
        <v>119606.44256339128</v>
      </c>
      <c r="Q82" s="65"/>
      <c r="R82" s="65">
        <f t="shared" si="15"/>
        <v>48386.976744186046</v>
      </c>
      <c r="S82" s="88"/>
      <c r="T82" s="93"/>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row>
    <row r="83" spans="1:56" x14ac:dyDescent="0.25">
      <c r="A83" s="74">
        <v>9257021</v>
      </c>
      <c r="B83" s="67" t="s">
        <v>71</v>
      </c>
      <c r="C83" s="121" t="s">
        <v>453</v>
      </c>
      <c r="D83" s="523">
        <f>VLOOKUP(A83,'2425 Band Moderations'!$B$5:$S$21,6,(FALSE))</f>
        <v>0.21264367816091953</v>
      </c>
      <c r="E83" s="523">
        <f>VLOOKUP(A83,'2425 Band Moderations'!$B$5:$S$21,8,(FALSE))</f>
        <v>0.52298850574712641</v>
      </c>
      <c r="F83" s="523">
        <f>VLOOKUP(A83,'2425 Band Moderations'!$B$5:$S$21,10,(FALSE))</f>
        <v>0.13218390804597702</v>
      </c>
      <c r="G83" s="523">
        <f>VLOOKUP(A83,'2425 Band Moderations'!$B$5:$S$21,12,(FALSE))</f>
        <v>6.8965517241379309E-2</v>
      </c>
      <c r="H83" s="523">
        <f>VLOOKUP(A83,'2425 Band Moderations'!$B$5:$S$21,14,(FALSE))</f>
        <v>2.2988505747126436E-2</v>
      </c>
      <c r="I83" s="523">
        <f>VLOOKUP(A83,'2425 Band Moderations'!$B$5:$S$21,16,(FALSE))</f>
        <v>2.8735632183908046E-2</v>
      </c>
      <c r="J83" s="523">
        <f>VLOOKUP(A83,'2425 Band Moderations'!$B$5:$S$21,18,(FALSE))</f>
        <v>1.1494252873563218E-2</v>
      </c>
      <c r="K83" s="162">
        <v>0</v>
      </c>
      <c r="L83" s="524">
        <f t="shared" si="14"/>
        <v>0</v>
      </c>
      <c r="M83" s="524">
        <v>0</v>
      </c>
      <c r="N83" s="524">
        <f t="shared" si="13"/>
        <v>0</v>
      </c>
      <c r="O83" s="525">
        <f t="shared" si="12"/>
        <v>0</v>
      </c>
      <c r="P83" s="525">
        <f>(VLOOKUP(A83,'2425 Funding Detail'!$A$4:$AA$20,24,FALSE)*8/12)*K83</f>
        <v>0</v>
      </c>
      <c r="Q83" s="65"/>
      <c r="R83" s="65">
        <f t="shared" si="15"/>
        <v>0</v>
      </c>
      <c r="S83" s="88"/>
      <c r="T83" s="93"/>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row>
    <row r="84" spans="1:56" x14ac:dyDescent="0.25">
      <c r="A84" s="74">
        <v>9257015</v>
      </c>
      <c r="B84" s="67" t="s">
        <v>72</v>
      </c>
      <c r="C84" s="121" t="s">
        <v>454</v>
      </c>
      <c r="D84" s="523">
        <f>VLOOKUP(A84,'2425 Band Moderations'!$B$5:$S$21,6,(FALSE))</f>
        <v>0.21982758620689655</v>
      </c>
      <c r="E84" s="523">
        <f>VLOOKUP(A84,'2425 Band Moderations'!$B$5:$S$21,8,(FALSE))</f>
        <v>0.44827586206896552</v>
      </c>
      <c r="F84" s="523">
        <f>VLOOKUP(A84,'2425 Band Moderations'!$B$5:$S$21,10,(FALSE))</f>
        <v>1.2931034482758621E-2</v>
      </c>
      <c r="G84" s="523">
        <f>VLOOKUP(A84,'2425 Band Moderations'!$B$5:$S$21,12,(FALSE))</f>
        <v>9.4827586206896547E-2</v>
      </c>
      <c r="H84" s="523">
        <f>VLOOKUP(A84,'2425 Band Moderations'!$B$5:$S$21,14,(FALSE))</f>
        <v>3.4482758620689655E-2</v>
      </c>
      <c r="I84" s="523">
        <f>VLOOKUP(A84,'2425 Band Moderations'!$B$5:$S$21,16,(FALSE))</f>
        <v>0.16379310344827586</v>
      </c>
      <c r="J84" s="523">
        <f>VLOOKUP(A84,'2425 Band Moderations'!$B$5:$S$21,18,(FALSE))</f>
        <v>2.5862068965517241E-2</v>
      </c>
      <c r="K84" s="162">
        <v>33</v>
      </c>
      <c r="L84" s="524">
        <f t="shared" si="14"/>
        <v>240042.56896551725</v>
      </c>
      <c r="M84" s="524">
        <v>0</v>
      </c>
      <c r="N84" s="524">
        <f t="shared" si="13"/>
        <v>240042.56896551725</v>
      </c>
      <c r="O84" s="525">
        <f t="shared" si="12"/>
        <v>220000</v>
      </c>
      <c r="P84" s="525">
        <f>(VLOOKUP(A84,'2425 Funding Detail'!$A$4:$AA$20,24,FALSE)*8/12)*K84</f>
        <v>94468.634822619701</v>
      </c>
      <c r="Q84" s="65"/>
      <c r="R84" s="65">
        <f t="shared" si="15"/>
        <v>14797.655172413792</v>
      </c>
      <c r="S84" s="88"/>
      <c r="T84" s="93"/>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row>
    <row r="85" spans="1:56" x14ac:dyDescent="0.25">
      <c r="A85" s="74">
        <v>9257016</v>
      </c>
      <c r="B85" s="67" t="s">
        <v>73</v>
      </c>
      <c r="C85" s="121" t="s">
        <v>454</v>
      </c>
      <c r="D85" s="523">
        <f>VLOOKUP(A85,'2425 Band Moderations'!$B$5:$S$21,6,(FALSE))</f>
        <v>0.12179487179487179</v>
      </c>
      <c r="E85" s="523">
        <f>VLOOKUP(A85,'2425 Band Moderations'!$B$5:$S$21,8,(FALSE))</f>
        <v>0.22435897435897437</v>
      </c>
      <c r="F85" s="523">
        <f>VLOOKUP(A85,'2425 Band Moderations'!$B$5:$S$21,10,(FALSE))</f>
        <v>1.282051282051282E-2</v>
      </c>
      <c r="G85" s="523">
        <f>VLOOKUP(A85,'2425 Band Moderations'!$B$5:$S$21,12,(FALSE))</f>
        <v>0.23717948717948717</v>
      </c>
      <c r="H85" s="523">
        <f>VLOOKUP(A85,'2425 Band Moderations'!$B$5:$S$21,14,(FALSE))</f>
        <v>0.17307692307692307</v>
      </c>
      <c r="I85" s="523">
        <f>VLOOKUP(A85,'2425 Band Moderations'!$B$5:$S$21,16,(FALSE))</f>
        <v>1.282051282051282E-2</v>
      </c>
      <c r="J85" s="523">
        <f>VLOOKUP(A85,'2425 Band Moderations'!$B$5:$S$21,18,(FALSE))</f>
        <v>0.21794871794871795</v>
      </c>
      <c r="K85" s="162">
        <v>45</v>
      </c>
      <c r="L85" s="524">
        <f t="shared" si="14"/>
        <v>463072.88461538462</v>
      </c>
      <c r="M85" s="524">
        <v>0</v>
      </c>
      <c r="N85" s="524">
        <f t="shared" si="13"/>
        <v>463072.88461538462</v>
      </c>
      <c r="O85" s="525">
        <f t="shared" si="12"/>
        <v>300000</v>
      </c>
      <c r="P85" s="525">
        <f>(VLOOKUP(A85,'2425 Funding Detail'!$A$4:$AA$20,24,FALSE)*8/12)*K85</f>
        <v>319877.61409866734</v>
      </c>
      <c r="Q85" s="107" t="s">
        <v>62</v>
      </c>
      <c r="R85" s="65">
        <f t="shared" si="15"/>
        <v>170052.30769230772</v>
      </c>
      <c r="S85" s="88"/>
      <c r="T85" s="93"/>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row>
    <row r="86" spans="1:56" x14ac:dyDescent="0.25">
      <c r="A86" s="15"/>
      <c r="B86" s="15"/>
      <c r="C86" s="15"/>
      <c r="D86" s="15"/>
      <c r="E86" s="15"/>
      <c r="F86" s="107" t="s">
        <v>62</v>
      </c>
      <c r="G86" s="15"/>
      <c r="H86" s="64"/>
      <c r="I86" s="107" t="s">
        <v>62</v>
      </c>
      <c r="J86" s="15"/>
      <c r="K86" s="15"/>
      <c r="L86" s="15"/>
      <c r="M86" s="15"/>
      <c r="N86" s="15"/>
      <c r="O86" s="15"/>
      <c r="P86" s="15"/>
      <c r="Q86" s="15"/>
      <c r="R86" s="64"/>
      <c r="S86" s="100"/>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row>
    <row r="87" spans="1:56" x14ac:dyDescent="0.25">
      <c r="A87" s="15"/>
      <c r="B87" s="15"/>
      <c r="C87" s="15"/>
      <c r="D87" s="15"/>
      <c r="E87" s="15"/>
      <c r="F87" s="15"/>
      <c r="G87" s="64"/>
      <c r="H87" s="15"/>
      <c r="I87" s="64"/>
      <c r="J87" s="64"/>
      <c r="K87" s="15"/>
      <c r="L87" s="15"/>
      <c r="M87" s="15"/>
      <c r="N87" s="15"/>
      <c r="O87" s="15"/>
      <c r="P87" s="15"/>
      <c r="Q87" s="15"/>
      <c r="R87" s="64"/>
      <c r="S87" s="100"/>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row>
    <row r="88" spans="1:56" ht="13" x14ac:dyDescent="0.3">
      <c r="A88" s="15"/>
      <c r="B88" s="348" t="s">
        <v>489</v>
      </c>
      <c r="C88" s="15"/>
      <c r="D88" s="15"/>
      <c r="E88" s="15" t="s">
        <v>229</v>
      </c>
      <c r="F88" s="15"/>
      <c r="G88" s="692">
        <v>6733</v>
      </c>
      <c r="H88" s="94"/>
      <c r="I88" s="696">
        <f>'2425 Band Values'!H6</f>
        <v>6733.4806965127136</v>
      </c>
      <c r="J88" s="94"/>
      <c r="K88" s="94"/>
      <c r="L88" s="94"/>
      <c r="M88" s="94"/>
      <c r="N88" s="94"/>
      <c r="O88" s="94"/>
      <c r="P88" s="94"/>
      <c r="Q88" s="94"/>
      <c r="R88" s="64"/>
      <c r="S88" s="100"/>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row>
    <row r="89" spans="1:56" x14ac:dyDescent="0.25">
      <c r="A89" s="15"/>
      <c r="B89" s="15"/>
      <c r="C89" s="15"/>
      <c r="D89" s="15"/>
      <c r="E89" s="15"/>
      <c r="F89" s="15"/>
      <c r="G89" s="692"/>
      <c r="H89" s="94"/>
      <c r="I89" s="696"/>
      <c r="J89" s="94"/>
      <c r="K89" s="94"/>
      <c r="L89" s="94"/>
      <c r="M89" s="94"/>
      <c r="N89" s="94"/>
      <c r="O89" s="94"/>
      <c r="P89" s="94"/>
      <c r="Q89" s="94"/>
      <c r="R89" s="64"/>
      <c r="S89" s="100"/>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row>
    <row r="90" spans="1:56" x14ac:dyDescent="0.25">
      <c r="A90" s="15"/>
      <c r="B90" s="15"/>
      <c r="C90" s="15"/>
      <c r="D90" s="15"/>
      <c r="E90" s="15" t="s">
        <v>230</v>
      </c>
      <c r="F90" s="15"/>
      <c r="G90" s="692">
        <v>7996</v>
      </c>
      <c r="H90" s="94"/>
      <c r="I90" s="696">
        <f>'2425 Band Values'!H7</f>
        <v>7996.1200188811354</v>
      </c>
      <c r="J90" s="94"/>
      <c r="K90" s="94"/>
      <c r="L90" s="94"/>
      <c r="M90" s="94"/>
      <c r="N90" s="94"/>
      <c r="O90" s="94"/>
      <c r="P90" s="94"/>
      <c r="Q90" s="94"/>
      <c r="R90" s="64"/>
      <c r="S90" s="100"/>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row>
    <row r="91" spans="1:56" x14ac:dyDescent="0.25">
      <c r="A91" s="15"/>
      <c r="B91" s="15"/>
      <c r="C91" s="15"/>
      <c r="D91" s="15"/>
      <c r="E91" s="15"/>
      <c r="F91" s="15"/>
      <c r="G91" s="692"/>
      <c r="H91" s="94"/>
      <c r="I91" s="697"/>
      <c r="J91" s="94"/>
      <c r="K91" s="94"/>
      <c r="L91" s="94"/>
      <c r="M91" s="94"/>
      <c r="N91" s="94"/>
      <c r="O91" s="94"/>
      <c r="P91" s="94"/>
      <c r="Q91" s="94"/>
      <c r="R91" s="64"/>
      <c r="S91" s="100"/>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row>
    <row r="92" spans="1:56" x14ac:dyDescent="0.25">
      <c r="A92" s="15"/>
      <c r="B92" s="15"/>
      <c r="C92" s="15"/>
      <c r="D92" s="15"/>
      <c r="E92" s="15" t="s">
        <v>231</v>
      </c>
      <c r="F92" s="15"/>
      <c r="G92" s="692">
        <v>16035</v>
      </c>
      <c r="H92" s="94"/>
      <c r="I92" s="697">
        <f>'2425 Band Values'!H8</f>
        <v>16034.561929506133</v>
      </c>
      <c r="J92" s="94"/>
      <c r="K92" s="94"/>
      <c r="L92" s="94"/>
      <c r="M92" s="94"/>
      <c r="N92" s="94"/>
      <c r="O92" s="94"/>
      <c r="P92" s="94"/>
      <c r="Q92" s="94"/>
      <c r="R92" s="64"/>
      <c r="S92" s="100"/>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row>
    <row r="93" spans="1:56" x14ac:dyDescent="0.25">
      <c r="A93" s="15"/>
      <c r="B93" s="15"/>
      <c r="C93" s="15"/>
      <c r="D93" s="15"/>
      <c r="E93" s="15"/>
      <c r="F93" s="15"/>
      <c r="G93" s="692"/>
      <c r="H93" s="94"/>
      <c r="I93" s="697"/>
      <c r="J93" s="94"/>
      <c r="K93" s="94"/>
      <c r="L93" s="94"/>
      <c r="M93" s="94"/>
      <c r="N93" s="94"/>
      <c r="O93" s="94"/>
      <c r="P93" s="94"/>
      <c r="Q93" s="94"/>
      <c r="R93" s="64"/>
      <c r="S93" s="100"/>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64"/>
      <c r="AY93" s="64"/>
      <c r="AZ93" s="15"/>
      <c r="BA93" s="15"/>
      <c r="BB93" s="64"/>
      <c r="BC93" s="64"/>
      <c r="BD93" s="64"/>
    </row>
    <row r="94" spans="1:56" x14ac:dyDescent="0.25">
      <c r="A94" s="15"/>
      <c r="B94" s="15"/>
      <c r="C94" s="15"/>
      <c r="D94" s="15"/>
      <c r="E94" s="15" t="s">
        <v>232</v>
      </c>
      <c r="F94" s="15"/>
      <c r="G94" s="692">
        <v>16392</v>
      </c>
      <c r="H94" s="94"/>
      <c r="I94" s="697">
        <f>'2425 Band Values'!H9</f>
        <v>16392.177337960082</v>
      </c>
      <c r="J94" s="94"/>
      <c r="K94" s="94"/>
      <c r="L94" s="94"/>
      <c r="M94" s="94"/>
      <c r="N94" s="94"/>
      <c r="O94" s="94"/>
      <c r="P94" s="94"/>
      <c r="Q94" s="94"/>
      <c r="R94" s="64"/>
      <c r="S94" s="100"/>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64"/>
      <c r="AY94" s="64"/>
      <c r="AZ94" s="15"/>
      <c r="BA94" s="15"/>
      <c r="BB94" s="64"/>
      <c r="BC94" s="64"/>
      <c r="BD94" s="64"/>
    </row>
    <row r="95" spans="1:56" x14ac:dyDescent="0.25">
      <c r="A95" s="15"/>
      <c r="B95" s="15"/>
      <c r="C95" s="15"/>
      <c r="D95" s="15"/>
      <c r="E95" s="15"/>
      <c r="F95" s="15"/>
      <c r="G95" s="692"/>
      <c r="H95" s="94"/>
      <c r="I95" s="697"/>
      <c r="J95" s="94"/>
      <c r="K95" s="94"/>
      <c r="L95" s="94"/>
      <c r="M95" s="94"/>
      <c r="N95" s="94"/>
      <c r="O95" s="94"/>
      <c r="P95" s="94"/>
      <c r="Q95" s="94"/>
      <c r="R95" s="64"/>
      <c r="S95" s="100"/>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64"/>
      <c r="AY95" s="64"/>
      <c r="AZ95" s="15"/>
      <c r="BA95" s="15"/>
      <c r="BB95" s="64"/>
      <c r="BC95" s="64"/>
      <c r="BD95" s="64"/>
    </row>
    <row r="96" spans="1:56" x14ac:dyDescent="0.25">
      <c r="A96" s="15"/>
      <c r="B96" s="15"/>
      <c r="C96" s="15"/>
      <c r="D96" s="15"/>
      <c r="E96" s="15" t="s">
        <v>233</v>
      </c>
      <c r="F96" s="15"/>
      <c r="G96" s="692">
        <v>16392</v>
      </c>
      <c r="H96" s="94"/>
      <c r="I96" s="697">
        <f>'2425 Band Values'!H10</f>
        <v>16392.177337960082</v>
      </c>
      <c r="J96" s="94"/>
      <c r="K96" s="94"/>
      <c r="L96" s="94"/>
      <c r="M96" s="94"/>
      <c r="N96" s="94"/>
      <c r="O96" s="94"/>
      <c r="P96" s="94"/>
      <c r="Q96" s="94"/>
      <c r="R96" s="64"/>
      <c r="S96" s="100"/>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64"/>
      <c r="AY96" s="64"/>
      <c r="AZ96" s="15"/>
      <c r="BA96" s="15"/>
      <c r="BB96" s="64"/>
      <c r="BC96" s="64"/>
      <c r="BD96" s="64"/>
    </row>
    <row r="97" spans="1:56" x14ac:dyDescent="0.25">
      <c r="A97" s="15"/>
      <c r="B97" s="15"/>
      <c r="C97" s="15"/>
      <c r="D97" s="15"/>
      <c r="E97" s="15"/>
      <c r="F97" s="15"/>
      <c r="G97" s="692"/>
      <c r="H97" s="94"/>
      <c r="I97" s="697"/>
      <c r="J97" s="94"/>
      <c r="K97" s="94"/>
      <c r="L97" s="94"/>
      <c r="M97" s="94"/>
      <c r="N97" s="94"/>
      <c r="O97" s="94"/>
      <c r="P97" s="94"/>
      <c r="Q97" s="94"/>
      <c r="R97" s="64"/>
      <c r="S97" s="100"/>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64"/>
      <c r="AY97" s="64"/>
      <c r="AZ97" s="15"/>
      <c r="BA97" s="15"/>
      <c r="BB97" s="64"/>
      <c r="BC97" s="64"/>
      <c r="BD97" s="64"/>
    </row>
    <row r="98" spans="1:56" x14ac:dyDescent="0.25">
      <c r="A98" s="15"/>
      <c r="B98" s="15"/>
      <c r="C98" s="15"/>
      <c r="D98" s="15"/>
      <c r="E98" s="15" t="s">
        <v>234</v>
      </c>
      <c r="F98" s="15"/>
      <c r="G98" s="692">
        <v>17381</v>
      </c>
      <c r="H98" s="94"/>
      <c r="I98" s="697">
        <f>'2425 Band Values'!H11</f>
        <v>17381.40953203903</v>
      </c>
      <c r="J98" s="94"/>
      <c r="K98" s="94"/>
      <c r="L98" s="94"/>
      <c r="M98" s="94"/>
      <c r="N98" s="94"/>
      <c r="O98" s="94"/>
      <c r="P98" s="94"/>
      <c r="Q98" s="94"/>
      <c r="R98" s="64"/>
      <c r="S98" s="100"/>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64"/>
      <c r="AY98" s="64"/>
      <c r="AZ98" s="15"/>
      <c r="BA98" s="15"/>
      <c r="BB98" s="64"/>
      <c r="BC98" s="64"/>
      <c r="BD98" s="64"/>
    </row>
    <row r="99" spans="1:56" x14ac:dyDescent="0.25">
      <c r="A99" s="15"/>
      <c r="B99" s="15"/>
      <c r="C99" s="15"/>
      <c r="D99" s="15"/>
      <c r="E99" s="15"/>
      <c r="F99" s="15"/>
      <c r="G99" s="692"/>
      <c r="H99" s="94"/>
      <c r="I99" s="697"/>
      <c r="J99" s="94"/>
      <c r="K99" s="94"/>
      <c r="L99" s="94"/>
      <c r="M99" s="94"/>
      <c r="N99" s="94"/>
      <c r="O99" s="94"/>
      <c r="P99" s="94"/>
      <c r="Q99" s="94"/>
      <c r="R99" s="64"/>
      <c r="S99" s="100"/>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64"/>
      <c r="AY99" s="64"/>
      <c r="AZ99" s="15"/>
      <c r="BA99" s="15"/>
      <c r="BB99" s="64"/>
      <c r="BC99" s="64"/>
      <c r="BD99" s="64"/>
    </row>
    <row r="100" spans="1:56" x14ac:dyDescent="0.25">
      <c r="A100" s="15"/>
      <c r="B100" s="15"/>
      <c r="C100" s="15"/>
      <c r="D100" s="15"/>
      <c r="E100" s="15" t="s">
        <v>235</v>
      </c>
      <c r="F100" s="15"/>
      <c r="G100" s="692">
        <v>26008</v>
      </c>
      <c r="H100" s="94"/>
      <c r="I100" s="697">
        <f>'2425 Band Values'!H12</f>
        <v>26008.393342105261</v>
      </c>
      <c r="J100" s="94"/>
      <c r="K100" s="94"/>
      <c r="L100" s="94"/>
      <c r="M100" s="94"/>
      <c r="N100" s="94"/>
      <c r="O100" s="94"/>
      <c r="P100" s="94"/>
      <c r="Q100" s="94"/>
      <c r="R100" s="64"/>
      <c r="S100" s="100"/>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64"/>
      <c r="AY100" s="64"/>
      <c r="AZ100" s="15"/>
      <c r="BA100" s="15"/>
      <c r="BB100" s="64"/>
      <c r="BC100" s="64"/>
      <c r="BD100" s="64"/>
    </row>
    <row r="101" spans="1:56" x14ac:dyDescent="0.25">
      <c r="A101" s="15"/>
      <c r="B101" s="15"/>
      <c r="C101" s="15"/>
      <c r="D101" s="15"/>
      <c r="E101" s="15"/>
      <c r="F101" s="145"/>
      <c r="G101" s="64"/>
      <c r="H101" s="15"/>
      <c r="I101" s="15"/>
      <c r="J101" s="15"/>
      <c r="K101" s="15"/>
      <c r="L101" s="15"/>
      <c r="M101" s="15"/>
      <c r="N101" s="15"/>
      <c r="O101" s="15"/>
      <c r="P101" s="15"/>
      <c r="Q101" s="15"/>
      <c r="R101" s="64"/>
      <c r="S101" s="100"/>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64"/>
      <c r="AQ101" s="64"/>
      <c r="AR101" s="15"/>
      <c r="AS101" s="15"/>
      <c r="AT101" s="64"/>
      <c r="AU101" s="64"/>
      <c r="AV101" s="64"/>
      <c r="AW101" s="15"/>
      <c r="AX101" s="15"/>
      <c r="AY101" s="15"/>
      <c r="AZ101" s="15"/>
      <c r="BA101" s="15"/>
      <c r="BB101" s="15"/>
      <c r="BC101" s="15"/>
      <c r="BD101" s="15"/>
    </row>
    <row r="102" spans="1:56" ht="12.75" customHeight="1" x14ac:dyDescent="0.3">
      <c r="A102" s="15"/>
      <c r="B102" s="15"/>
      <c r="C102" s="15"/>
      <c r="D102" s="1110" t="s">
        <v>101</v>
      </c>
      <c r="E102" s="1111"/>
      <c r="F102" s="1112"/>
      <c r="G102" s="1110" t="s">
        <v>88</v>
      </c>
      <c r="H102" s="1111"/>
      <c r="I102" s="1112"/>
      <c r="J102" s="56" t="s">
        <v>102</v>
      </c>
      <c r="K102" s="1110" t="s">
        <v>101</v>
      </c>
      <c r="L102" s="1111"/>
      <c r="M102" s="1112"/>
      <c r="N102" s="1110" t="s">
        <v>88</v>
      </c>
      <c r="O102" s="1111"/>
      <c r="P102" s="1112"/>
      <c r="Q102" s="56" t="s">
        <v>102</v>
      </c>
      <c r="R102" s="160" t="s">
        <v>102</v>
      </c>
      <c r="S102" s="161"/>
      <c r="T102" s="57"/>
      <c r="U102" s="15"/>
      <c r="V102" s="15"/>
      <c r="W102" s="15"/>
      <c r="X102" s="15"/>
      <c r="Y102" s="15"/>
      <c r="Z102" s="15"/>
      <c r="AA102" s="15"/>
      <c r="AB102" s="15"/>
      <c r="AC102" s="15"/>
      <c r="AD102" s="15"/>
      <c r="AE102" s="15"/>
      <c r="AF102" s="15"/>
      <c r="AG102" s="15"/>
      <c r="AH102" s="15"/>
      <c r="AI102" s="15"/>
      <c r="AJ102" s="15"/>
      <c r="AK102" s="1106" t="s">
        <v>103</v>
      </c>
      <c r="AL102" s="15"/>
      <c r="AM102" s="15"/>
      <c r="AN102" s="64"/>
      <c r="AO102" s="64"/>
      <c r="AP102" s="15"/>
      <c r="AQ102" s="15"/>
      <c r="AR102" s="64"/>
      <c r="AS102" s="64"/>
      <c r="AT102" s="64"/>
      <c r="AU102" s="15"/>
      <c r="AV102" s="15"/>
      <c r="AW102" s="15"/>
      <c r="AX102" s="15"/>
      <c r="AY102" s="15"/>
      <c r="AZ102" s="15"/>
      <c r="BA102" s="15"/>
      <c r="BB102" s="15"/>
      <c r="BC102" s="15"/>
      <c r="BD102" s="15"/>
    </row>
    <row r="103" spans="1:56" ht="41.25" customHeight="1" x14ac:dyDescent="0.3">
      <c r="A103" s="96" t="s">
        <v>48</v>
      </c>
      <c r="B103" s="97" t="s">
        <v>49</v>
      </c>
      <c r="C103" s="68" t="s">
        <v>50</v>
      </c>
      <c r="D103" s="71" t="str">
        <f t="shared" ref="D103:D120" si="16">L5</f>
        <v>Pre-16 Funding (Apr-Aug)</v>
      </c>
      <c r="E103" s="72" t="str">
        <f t="shared" ref="E103:E120" si="17">L47</f>
        <v>Pre-16 Funding (Sept-Mar)</v>
      </c>
      <c r="F103" s="36" t="s">
        <v>104</v>
      </c>
      <c r="G103" s="72" t="str">
        <f t="shared" ref="G103:G120" si="18">L26</f>
        <v>Post-16 Funding (Apr-Jul)</v>
      </c>
      <c r="H103" s="71" t="str">
        <f t="shared" ref="H103:H120" si="19">L68</f>
        <v>Post-16 Funding (Aug-Mar)</v>
      </c>
      <c r="I103" s="36" t="s">
        <v>105</v>
      </c>
      <c r="J103" s="36" t="s">
        <v>106</v>
      </c>
      <c r="K103" s="71" t="str">
        <f t="shared" ref="K103:K120" si="20">M5</f>
        <v>Additionality Funding (Apr-Aug)</v>
      </c>
      <c r="L103" s="71" t="str">
        <f t="shared" ref="L103:L120" si="21">M47</f>
        <v>Additionality Funding (Sept-Mar)</v>
      </c>
      <c r="M103" s="36" t="s">
        <v>107</v>
      </c>
      <c r="N103" s="71" t="str">
        <f t="shared" ref="N103:N120" si="22">M26</f>
        <v>Additionality Funding (Apr-Jul)</v>
      </c>
      <c r="O103" s="72" t="str">
        <f t="shared" ref="O103:O120" si="23">M68</f>
        <v>Additionality Funding (Aug-Mar)</v>
      </c>
      <c r="P103" s="36" t="s">
        <v>107</v>
      </c>
      <c r="Q103" s="36" t="s">
        <v>108</v>
      </c>
      <c r="R103" s="36" t="s">
        <v>54</v>
      </c>
      <c r="S103" s="526" t="s">
        <v>109</v>
      </c>
      <c r="T103" s="71" t="s">
        <v>110</v>
      </c>
      <c r="U103" s="71" t="s">
        <v>277</v>
      </c>
      <c r="V103" s="71" t="s">
        <v>111</v>
      </c>
      <c r="W103" s="71" t="s">
        <v>91</v>
      </c>
      <c r="X103" s="36" t="s">
        <v>112</v>
      </c>
      <c r="Y103" s="112" t="s">
        <v>54</v>
      </c>
      <c r="Z103" s="577" t="s">
        <v>327</v>
      </c>
      <c r="AA103" s="577" t="s">
        <v>328</v>
      </c>
      <c r="AB103" s="71" t="s">
        <v>58</v>
      </c>
      <c r="AC103" s="71" t="s">
        <v>113</v>
      </c>
      <c r="AD103" s="71" t="s">
        <v>114</v>
      </c>
      <c r="AE103" s="36" t="s">
        <v>115</v>
      </c>
      <c r="AF103" s="71" t="s">
        <v>116</v>
      </c>
      <c r="AG103" s="71" t="s">
        <v>117</v>
      </c>
      <c r="AH103" s="36" t="s">
        <v>118</v>
      </c>
      <c r="AI103" s="36" t="s">
        <v>119</v>
      </c>
      <c r="AJ103" s="97"/>
      <c r="AK103" s="1107"/>
      <c r="AL103" s="15"/>
      <c r="AM103" s="15"/>
      <c r="AN103" s="23" t="s">
        <v>741</v>
      </c>
      <c r="AO103" s="368"/>
      <c r="AP103" s="368"/>
      <c r="AQ103" s="527"/>
      <c r="AR103" s="369"/>
      <c r="AS103" s="368"/>
      <c r="AT103" s="370"/>
      <c r="AU103" s="15"/>
      <c r="AV103" s="15"/>
      <c r="AW103" s="15"/>
      <c r="AX103" s="15"/>
      <c r="AY103" s="15"/>
      <c r="AZ103" s="15"/>
      <c r="BA103" s="15"/>
      <c r="BB103" s="15"/>
      <c r="BC103" s="15"/>
      <c r="BD103" s="15"/>
    </row>
    <row r="104" spans="1:56" ht="13" x14ac:dyDescent="0.3">
      <c r="A104" s="74">
        <v>9257010</v>
      </c>
      <c r="B104" s="67" t="s">
        <v>439</v>
      </c>
      <c r="C104" s="68">
        <v>4</v>
      </c>
      <c r="D104" s="75">
        <f t="shared" si="16"/>
        <v>674162.80821917811</v>
      </c>
      <c r="E104" s="75">
        <f t="shared" si="17"/>
        <v>1021190.8767123289</v>
      </c>
      <c r="F104" s="22">
        <f>SUM(D104:E104)</f>
        <v>1695353.6849315069</v>
      </c>
      <c r="G104" s="75">
        <f t="shared" si="18"/>
        <v>110518.4931506849</v>
      </c>
      <c r="H104" s="75">
        <f t="shared" si="19"/>
        <v>221036.98630136979</v>
      </c>
      <c r="I104" s="22">
        <f>SUM(G104:H104)</f>
        <v>331555.47945205471</v>
      </c>
      <c r="J104" s="22">
        <f>F104+I104</f>
        <v>2026909.1643835616</v>
      </c>
      <c r="K104" s="75">
        <f t="shared" si="20"/>
        <v>0</v>
      </c>
      <c r="L104" s="75">
        <f t="shared" si="21"/>
        <v>0</v>
      </c>
      <c r="M104" s="22">
        <f>SUM(K104:L104)</f>
        <v>0</v>
      </c>
      <c r="N104" s="75">
        <f t="shared" si="22"/>
        <v>0</v>
      </c>
      <c r="O104" s="75">
        <f t="shared" si="23"/>
        <v>0</v>
      </c>
      <c r="P104" s="22">
        <f>SUM(N104:O104)</f>
        <v>0</v>
      </c>
      <c r="Q104" s="22">
        <f>M104+P104</f>
        <v>0</v>
      </c>
      <c r="R104" s="22">
        <f t="shared" ref="R104:R120" si="24">F104+I104+M104+P104</f>
        <v>2026909.1643835616</v>
      </c>
      <c r="S104" s="98">
        <f>(K6*(5/12))+(K48*(7/12))+(K27*(4/12))+(K69*(8/12))</f>
        <v>152.83333333333334</v>
      </c>
      <c r="T104" s="75">
        <f>R104/S104</f>
        <v>13262.21917808219</v>
      </c>
      <c r="U104" s="67"/>
      <c r="V104" s="75">
        <f>O6+O48</f>
        <v>1278333.3333333335</v>
      </c>
      <c r="W104" s="75">
        <f>O27+O69</f>
        <v>250000</v>
      </c>
      <c r="X104" s="75">
        <f>V104+W104</f>
        <v>1528333.3333333335</v>
      </c>
      <c r="Y104" s="75">
        <f>VLOOKUP(A104,'2425 Funding Detail'!$A$4:$AA$20,17,FALSE)</f>
        <v>2828131.0227133585</v>
      </c>
      <c r="Z104" s="75"/>
      <c r="AA104" s="75"/>
      <c r="AB104" s="75">
        <f>Y104-X104-Z104-AA104</f>
        <v>1299797.689380025</v>
      </c>
      <c r="AC104" s="75">
        <f t="shared" ref="AC104:AC120" si="25">P6</f>
        <v>432320.93267274543</v>
      </c>
      <c r="AD104" s="75">
        <f t="shared" ref="AD104:AD120" si="26">P48</f>
        <v>654859.9045731423</v>
      </c>
      <c r="AE104" s="75">
        <f>AC104+AD104</f>
        <v>1087180.8372458876</v>
      </c>
      <c r="AF104" s="75">
        <f t="shared" ref="AF104:AF120" si="27">P27</f>
        <v>70872.284044712374</v>
      </c>
      <c r="AG104" s="75">
        <f t="shared" ref="AG104:AG120" si="28">P69</f>
        <v>141744.56808942475</v>
      </c>
      <c r="AH104" s="75">
        <f>AF104+AG104</f>
        <v>212616.85213413712</v>
      </c>
      <c r="AI104" s="75">
        <f>AE104+AH104</f>
        <v>1299797.6893800248</v>
      </c>
      <c r="AJ104" s="99"/>
      <c r="AK104" s="528">
        <f>X104+AE104+AH104</f>
        <v>2828131.022713358</v>
      </c>
      <c r="AL104" s="76" t="s">
        <v>61</v>
      </c>
      <c r="AM104" s="105"/>
      <c r="AN104" s="65">
        <f>SUM(R6,R27,R48,R69)</f>
        <v>408379.04109589034</v>
      </c>
      <c r="AO104" s="89"/>
      <c r="AP104" s="89"/>
      <c r="AQ104" s="527"/>
      <c r="AR104" s="529"/>
      <c r="AS104" s="529"/>
      <c r="AT104" s="529"/>
      <c r="AU104" s="15"/>
      <c r="AV104" s="15"/>
      <c r="AW104" s="15"/>
      <c r="AX104" s="15"/>
      <c r="AY104" s="15"/>
      <c r="AZ104" s="15"/>
      <c r="BA104" s="15"/>
      <c r="BB104" s="15"/>
      <c r="BC104" s="15"/>
      <c r="BD104" s="15"/>
    </row>
    <row r="105" spans="1:56" ht="13" x14ac:dyDescent="0.3">
      <c r="A105" s="74">
        <v>9257005</v>
      </c>
      <c r="B105" s="67" t="s">
        <v>63</v>
      </c>
      <c r="C105" s="68">
        <v>4</v>
      </c>
      <c r="D105" s="75">
        <f t="shared" si="16"/>
        <v>353209.1197183099</v>
      </c>
      <c r="E105" s="75">
        <f t="shared" si="17"/>
        <v>540279.13497652591</v>
      </c>
      <c r="F105" s="22">
        <f t="shared" ref="F105:F120" si="29">SUM(D105:E105)</f>
        <v>893488.25469483575</v>
      </c>
      <c r="G105" s="75">
        <f t="shared" si="18"/>
        <v>104654.55399061032</v>
      </c>
      <c r="H105" s="75">
        <f t="shared" si="19"/>
        <v>188378.19718309856</v>
      </c>
      <c r="I105" s="22">
        <f t="shared" ref="I105:I120" si="30">SUM(G105:H105)</f>
        <v>293032.75117370888</v>
      </c>
      <c r="J105" s="22">
        <f t="shared" ref="J105:J119" si="31">F105+I105</f>
        <v>1186521.0058685446</v>
      </c>
      <c r="K105" s="75">
        <f t="shared" si="20"/>
        <v>0</v>
      </c>
      <c r="L105" s="75">
        <f t="shared" si="21"/>
        <v>0</v>
      </c>
      <c r="M105" s="22">
        <f t="shared" ref="M105:M120" si="32">SUM(K105:L105)</f>
        <v>0</v>
      </c>
      <c r="N105" s="75">
        <f t="shared" si="22"/>
        <v>0</v>
      </c>
      <c r="O105" s="75">
        <f t="shared" si="23"/>
        <v>0</v>
      </c>
      <c r="P105" s="22">
        <f t="shared" ref="P105:P120" si="33">SUM(N105:O105)</f>
        <v>0</v>
      </c>
      <c r="Q105" s="22">
        <f t="shared" ref="Q105:Q120" si="34">M105+P105</f>
        <v>0</v>
      </c>
      <c r="R105" s="22">
        <f t="shared" si="24"/>
        <v>1186521.0058685446</v>
      </c>
      <c r="S105" s="98">
        <f t="shared" ref="S105:S120" si="35">(K7*(5/12))+(K49*(7/12))+(K28*(4/12))+(K70*(8/12))</f>
        <v>75.583333333333343</v>
      </c>
      <c r="T105" s="75">
        <f t="shared" ref="T105:T120" si="36">R105/S105</f>
        <v>15698.183098591548</v>
      </c>
      <c r="U105" s="67"/>
      <c r="V105" s="75">
        <f t="shared" ref="V105:V120" si="37">O7+O49</f>
        <v>569166.66666666674</v>
      </c>
      <c r="W105" s="75">
        <f t="shared" ref="W105:W120" si="38">O28+O70</f>
        <v>186666.66666666666</v>
      </c>
      <c r="X105" s="75">
        <f t="shared" ref="X105:X120" si="39">V105+W105</f>
        <v>755833.33333333337</v>
      </c>
      <c r="Y105" s="75">
        <f>VLOOKUP(A105,'2425 Funding Detail'!$A$4:$AA$20,17,FALSE)</f>
        <v>1800555.8058685446</v>
      </c>
      <c r="Z105" s="75"/>
      <c r="AA105" s="75"/>
      <c r="AB105" s="75">
        <f t="shared" ref="AB105:AB120" si="40">Y105-X105-Z105-AA105</f>
        <v>1044722.4725352112</v>
      </c>
      <c r="AC105" s="75">
        <f t="shared" si="25"/>
        <v>310997.8694426759</v>
      </c>
      <c r="AD105" s="75">
        <f t="shared" si="26"/>
        <v>475711.5558512042</v>
      </c>
      <c r="AE105" s="75">
        <f t="shared" ref="AE105:AE120" si="41">AC105+AD105</f>
        <v>786709.42529388005</v>
      </c>
      <c r="AF105" s="75">
        <f t="shared" si="27"/>
        <v>92147.51687190395</v>
      </c>
      <c r="AG105" s="75">
        <f t="shared" si="28"/>
        <v>165865.53036942711</v>
      </c>
      <c r="AH105" s="75">
        <f t="shared" ref="AH105:AH120" si="42">AF105+AG105</f>
        <v>258013.04724133108</v>
      </c>
      <c r="AI105" s="75">
        <f t="shared" ref="AI105:AI120" si="43">AE105+AH105</f>
        <v>1044722.4725352111</v>
      </c>
      <c r="AJ105" s="99"/>
      <c r="AK105" s="528">
        <f t="shared" ref="AK105:AK120" si="44">X105+AE105+AH105</f>
        <v>1800555.8058685446</v>
      </c>
      <c r="AL105" s="76" t="s">
        <v>61</v>
      </c>
      <c r="AM105" s="105"/>
      <c r="AN105" s="65">
        <f t="shared" ref="AN105:AN120" si="45">SUM(R7,R28,R49,R70)</f>
        <v>249182.28169014084</v>
      </c>
      <c r="AO105" s="89"/>
      <c r="AP105" s="89"/>
      <c r="AQ105" s="527"/>
      <c r="AR105" s="529"/>
      <c r="AS105" s="529"/>
      <c r="AT105" s="529"/>
      <c r="AU105" s="15"/>
      <c r="AV105" s="15"/>
      <c r="AW105" s="15"/>
      <c r="AX105" s="15"/>
      <c r="AY105" s="15"/>
      <c r="AZ105" s="15"/>
      <c r="BA105" s="15"/>
      <c r="BB105" s="15"/>
      <c r="BC105" s="15"/>
      <c r="BD105" s="15"/>
    </row>
    <row r="106" spans="1:56" ht="13" x14ac:dyDescent="0.3">
      <c r="A106" s="74">
        <v>9257025</v>
      </c>
      <c r="B106" s="67" t="s">
        <v>64</v>
      </c>
      <c r="C106" s="68">
        <v>4</v>
      </c>
      <c r="D106" s="75">
        <f t="shared" si="16"/>
        <v>337593.8671875</v>
      </c>
      <c r="E106" s="75">
        <f t="shared" si="17"/>
        <v>540150.18750000012</v>
      </c>
      <c r="F106" s="22">
        <f t="shared" si="29"/>
        <v>877744.05468750012</v>
      </c>
      <c r="G106" s="75">
        <f t="shared" si="18"/>
        <v>84179.25</v>
      </c>
      <c r="H106" s="75">
        <f t="shared" si="19"/>
        <v>154328.625</v>
      </c>
      <c r="I106" s="22">
        <f t="shared" si="30"/>
        <v>238507.875</v>
      </c>
      <c r="J106" s="22">
        <f t="shared" si="31"/>
        <v>1116251.9296875</v>
      </c>
      <c r="K106" s="75">
        <f t="shared" si="20"/>
        <v>0</v>
      </c>
      <c r="L106" s="75">
        <f t="shared" si="21"/>
        <v>0</v>
      </c>
      <c r="M106" s="22">
        <f t="shared" si="32"/>
        <v>0</v>
      </c>
      <c r="N106" s="75">
        <f t="shared" si="22"/>
        <v>0</v>
      </c>
      <c r="O106" s="75">
        <f t="shared" si="23"/>
        <v>0</v>
      </c>
      <c r="P106" s="22">
        <f t="shared" si="33"/>
        <v>0</v>
      </c>
      <c r="Q106" s="22">
        <f t="shared" si="34"/>
        <v>0</v>
      </c>
      <c r="R106" s="22">
        <f t="shared" si="24"/>
        <v>1116251.9296875</v>
      </c>
      <c r="S106" s="98">
        <f t="shared" si="35"/>
        <v>106.08333333333334</v>
      </c>
      <c r="T106" s="75">
        <f t="shared" si="36"/>
        <v>10522.406249999998</v>
      </c>
      <c r="U106" s="67"/>
      <c r="V106" s="75">
        <f t="shared" si="37"/>
        <v>834166.66666666674</v>
      </c>
      <c r="W106" s="75">
        <f t="shared" si="38"/>
        <v>226666.66666666666</v>
      </c>
      <c r="X106" s="75">
        <f t="shared" si="39"/>
        <v>1060833.3333333335</v>
      </c>
      <c r="Y106" s="75">
        <f>VLOOKUP(A106,'2425 Funding Detail'!$A$4:$AA$20,17,FALSE)</f>
        <v>1742798.5727864373</v>
      </c>
      <c r="Z106" s="75"/>
      <c r="AA106" s="75"/>
      <c r="AB106" s="75">
        <f t="shared" si="40"/>
        <v>681965.23945310386</v>
      </c>
      <c r="AC106" s="75">
        <f t="shared" si="25"/>
        <v>206250.28844418298</v>
      </c>
      <c r="AD106" s="75">
        <f t="shared" si="26"/>
        <v>330000.46151069284</v>
      </c>
      <c r="AE106" s="75">
        <f t="shared" si="41"/>
        <v>536250.74995487579</v>
      </c>
      <c r="AF106" s="75">
        <f t="shared" si="27"/>
        <v>51428.643352315761</v>
      </c>
      <c r="AG106" s="75">
        <f t="shared" si="28"/>
        <v>94285.846145912234</v>
      </c>
      <c r="AH106" s="75">
        <f t="shared" si="42"/>
        <v>145714.48949822801</v>
      </c>
      <c r="AI106" s="75">
        <f t="shared" si="43"/>
        <v>681965.23945310386</v>
      </c>
      <c r="AJ106" s="99"/>
      <c r="AK106" s="528">
        <f t="shared" si="44"/>
        <v>1742798.5727864373</v>
      </c>
      <c r="AL106" s="76" t="s">
        <v>61</v>
      </c>
      <c r="AM106" s="105"/>
      <c r="AN106" s="65">
        <f t="shared" si="45"/>
        <v>86219.229166666657</v>
      </c>
      <c r="AO106" s="89"/>
      <c r="AP106" s="89"/>
      <c r="AQ106" s="527"/>
      <c r="AR106" s="529"/>
      <c r="AS106" s="529"/>
      <c r="AT106" s="529"/>
      <c r="AU106" s="15"/>
      <c r="AV106" s="15"/>
      <c r="AW106" s="15"/>
      <c r="AX106" s="15"/>
      <c r="AY106" s="15"/>
      <c r="AZ106" s="15"/>
      <c r="BA106" s="15"/>
      <c r="BB106" s="15"/>
      <c r="BC106" s="15"/>
      <c r="BD106" s="15"/>
    </row>
    <row r="107" spans="1:56" ht="13" x14ac:dyDescent="0.3">
      <c r="A107" s="74">
        <v>9257024</v>
      </c>
      <c r="B107" s="67" t="s">
        <v>66</v>
      </c>
      <c r="C107" s="68">
        <v>3</v>
      </c>
      <c r="D107" s="75">
        <f t="shared" si="16"/>
        <v>371434.3859649123</v>
      </c>
      <c r="E107" s="75">
        <f t="shared" si="17"/>
        <v>539508.44561403512</v>
      </c>
      <c r="F107" s="22">
        <f t="shared" si="29"/>
        <v>910942.83157894737</v>
      </c>
      <c r="G107" s="75">
        <f t="shared" si="18"/>
        <v>59429.501754385958</v>
      </c>
      <c r="H107" s="75">
        <f t="shared" si="19"/>
        <v>126287.69122807018</v>
      </c>
      <c r="I107" s="22">
        <f t="shared" si="30"/>
        <v>185717.19298245612</v>
      </c>
      <c r="J107" s="22">
        <f t="shared" si="31"/>
        <v>1096660.0245614036</v>
      </c>
      <c r="K107" s="75">
        <f t="shared" si="20"/>
        <v>0</v>
      </c>
      <c r="L107" s="75">
        <f t="shared" si="21"/>
        <v>0</v>
      </c>
      <c r="M107" s="22">
        <f t="shared" si="32"/>
        <v>0</v>
      </c>
      <c r="N107" s="75">
        <f t="shared" si="22"/>
        <v>0</v>
      </c>
      <c r="O107" s="75">
        <f t="shared" si="23"/>
        <v>0</v>
      </c>
      <c r="P107" s="22">
        <f t="shared" si="33"/>
        <v>0</v>
      </c>
      <c r="Q107" s="22">
        <f t="shared" si="34"/>
        <v>0</v>
      </c>
      <c r="R107" s="22">
        <f t="shared" si="24"/>
        <v>1096660.0245614036</v>
      </c>
      <c r="S107" s="98">
        <f t="shared" si="35"/>
        <v>98.416666666666657</v>
      </c>
      <c r="T107" s="75">
        <f t="shared" si="36"/>
        <v>11143.03157894737</v>
      </c>
      <c r="U107" s="67"/>
      <c r="V107" s="75">
        <f t="shared" si="37"/>
        <v>817500</v>
      </c>
      <c r="W107" s="75">
        <f t="shared" si="38"/>
        <v>166666.66666666666</v>
      </c>
      <c r="X107" s="75">
        <f t="shared" si="39"/>
        <v>984166.66666666663</v>
      </c>
      <c r="Y107" s="75">
        <f>VLOOKUP(A107,'2425 Funding Detail'!$A$4:$AA$20,17,FALSE)</f>
        <v>1673458.0650044107</v>
      </c>
      <c r="Z107" s="75"/>
      <c r="AA107" s="75"/>
      <c r="AB107" s="75">
        <f t="shared" si="40"/>
        <v>689291.39833774406</v>
      </c>
      <c r="AC107" s="75">
        <f t="shared" si="25"/>
        <v>233460.2534590158</v>
      </c>
      <c r="AD107" s="75">
        <f t="shared" si="26"/>
        <v>339101.01814922044</v>
      </c>
      <c r="AE107" s="75">
        <f t="shared" si="41"/>
        <v>572561.27160823625</v>
      </c>
      <c r="AF107" s="75">
        <f t="shared" si="27"/>
        <v>37353.640553442528</v>
      </c>
      <c r="AG107" s="75">
        <f t="shared" si="28"/>
        <v>79376.486176065373</v>
      </c>
      <c r="AH107" s="75">
        <f t="shared" si="42"/>
        <v>116730.1267295079</v>
      </c>
      <c r="AI107" s="75">
        <f t="shared" si="43"/>
        <v>689291.39833774418</v>
      </c>
      <c r="AJ107" s="99"/>
      <c r="AK107" s="528">
        <f t="shared" si="44"/>
        <v>1673458.0650044107</v>
      </c>
      <c r="AL107" s="76" t="s">
        <v>61</v>
      </c>
      <c r="AM107" s="105"/>
      <c r="AN107" s="65">
        <f t="shared" si="45"/>
        <v>134716.87719298247</v>
      </c>
      <c r="AO107" s="89"/>
      <c r="AP107" s="89"/>
      <c r="AQ107" s="527"/>
      <c r="AR107" s="529"/>
      <c r="AS107" s="529"/>
      <c r="AT107" s="529"/>
      <c r="AU107" s="15"/>
      <c r="AV107" s="15"/>
      <c r="AW107" s="15"/>
      <c r="AX107" s="15"/>
      <c r="AY107" s="15"/>
      <c r="AZ107" s="15"/>
      <c r="BA107" s="15"/>
      <c r="BB107" s="15"/>
      <c r="BC107" s="15"/>
      <c r="BD107" s="15"/>
    </row>
    <row r="108" spans="1:56" ht="13" x14ac:dyDescent="0.3">
      <c r="A108" s="74">
        <v>9257031</v>
      </c>
      <c r="B108" s="67" t="s">
        <v>84</v>
      </c>
      <c r="C108" s="68">
        <v>4</v>
      </c>
      <c r="D108" s="75">
        <f t="shared" si="16"/>
        <v>541181.25</v>
      </c>
      <c r="E108" s="75">
        <f t="shared" si="17"/>
        <v>748300</v>
      </c>
      <c r="F108" s="22">
        <f t="shared" si="29"/>
        <v>1289481.25</v>
      </c>
      <c r="G108" s="75">
        <f t="shared" si="18"/>
        <v>0</v>
      </c>
      <c r="H108" s="75">
        <f t="shared" si="19"/>
        <v>0</v>
      </c>
      <c r="I108" s="22">
        <f t="shared" si="30"/>
        <v>0</v>
      </c>
      <c r="J108" s="22">
        <f t="shared" si="31"/>
        <v>1289481.25</v>
      </c>
      <c r="K108" s="75">
        <f t="shared" si="20"/>
        <v>0</v>
      </c>
      <c r="L108" s="75">
        <f t="shared" si="21"/>
        <v>0</v>
      </c>
      <c r="M108" s="22">
        <f t="shared" si="32"/>
        <v>0</v>
      </c>
      <c r="N108" s="75">
        <f t="shared" si="22"/>
        <v>0</v>
      </c>
      <c r="O108" s="75">
        <f t="shared" si="23"/>
        <v>0</v>
      </c>
      <c r="P108" s="22">
        <f t="shared" si="33"/>
        <v>0</v>
      </c>
      <c r="Q108" s="22">
        <f t="shared" si="34"/>
        <v>0</v>
      </c>
      <c r="R108" s="22">
        <f t="shared" si="24"/>
        <v>1289481.25</v>
      </c>
      <c r="S108" s="98">
        <f t="shared" si="35"/>
        <v>80.416666666666671</v>
      </c>
      <c r="T108" s="75">
        <f t="shared" si="36"/>
        <v>16034.999999999998</v>
      </c>
      <c r="U108" s="67"/>
      <c r="V108" s="75">
        <f t="shared" si="37"/>
        <v>804166.66666666674</v>
      </c>
      <c r="W108" s="75">
        <f t="shared" si="38"/>
        <v>0</v>
      </c>
      <c r="X108" s="75">
        <f t="shared" si="39"/>
        <v>804166.66666666674</v>
      </c>
      <c r="Y108" s="75">
        <f>VLOOKUP(A108,'2425 Funding Detail'!$A$4:$AA$20,17,FALSE)</f>
        <v>1843753.25</v>
      </c>
      <c r="Z108" s="75"/>
      <c r="AA108" s="75"/>
      <c r="AB108" s="75">
        <f t="shared" si="40"/>
        <v>1039586.5833333333</v>
      </c>
      <c r="AC108" s="75">
        <f t="shared" si="25"/>
        <v>436303.17746113986</v>
      </c>
      <c r="AD108" s="75">
        <f t="shared" si="26"/>
        <v>603283.4058721934</v>
      </c>
      <c r="AE108" s="75">
        <f t="shared" si="41"/>
        <v>1039586.5833333333</v>
      </c>
      <c r="AF108" s="75">
        <f t="shared" si="27"/>
        <v>0</v>
      </c>
      <c r="AG108" s="75">
        <f t="shared" si="28"/>
        <v>0</v>
      </c>
      <c r="AH108" s="75">
        <f t="shared" si="42"/>
        <v>0</v>
      </c>
      <c r="AI108" s="75">
        <f t="shared" si="43"/>
        <v>1039586.5833333333</v>
      </c>
      <c r="AJ108" s="99"/>
      <c r="AK108" s="528">
        <f t="shared" si="44"/>
        <v>1843753.25</v>
      </c>
      <c r="AL108" s="76" t="s">
        <v>61</v>
      </c>
      <c r="AM108" s="105"/>
      <c r="AN108" s="65">
        <f t="shared" si="45"/>
        <v>0</v>
      </c>
      <c r="AO108" s="89"/>
      <c r="AP108" s="89"/>
      <c r="AQ108" s="527"/>
      <c r="AR108" s="529"/>
      <c r="AS108" s="529"/>
      <c r="AT108" s="529"/>
      <c r="AU108" s="15"/>
      <c r="AV108" s="15"/>
      <c r="AW108" s="15"/>
      <c r="AX108" s="15"/>
      <c r="AY108" s="15"/>
      <c r="AZ108" s="15"/>
      <c r="BA108" s="15"/>
      <c r="BB108" s="15"/>
      <c r="BC108" s="15"/>
      <c r="BD108" s="15"/>
    </row>
    <row r="109" spans="1:56" ht="13" x14ac:dyDescent="0.3">
      <c r="A109" s="74">
        <v>9257033</v>
      </c>
      <c r="B109" s="67" t="s">
        <v>74</v>
      </c>
      <c r="C109" s="68">
        <v>3</v>
      </c>
      <c r="D109" s="75">
        <f t="shared" si="16"/>
        <v>466318.63938053092</v>
      </c>
      <c r="E109" s="75">
        <f t="shared" si="17"/>
        <v>658523.01769911498</v>
      </c>
      <c r="F109" s="22">
        <f t="shared" si="29"/>
        <v>1124841.6570796459</v>
      </c>
      <c r="G109" s="75">
        <f t="shared" si="18"/>
        <v>0</v>
      </c>
      <c r="H109" s="75">
        <f t="shared" si="19"/>
        <v>0</v>
      </c>
      <c r="I109" s="22">
        <f t="shared" si="30"/>
        <v>0</v>
      </c>
      <c r="J109" s="22">
        <f t="shared" si="31"/>
        <v>1124841.6570796459</v>
      </c>
      <c r="K109" s="75">
        <f t="shared" si="20"/>
        <v>0</v>
      </c>
      <c r="L109" s="75">
        <f t="shared" si="21"/>
        <v>0</v>
      </c>
      <c r="M109" s="22">
        <f t="shared" si="32"/>
        <v>0</v>
      </c>
      <c r="N109" s="75">
        <f t="shared" si="22"/>
        <v>0</v>
      </c>
      <c r="O109" s="75">
        <f t="shared" si="23"/>
        <v>0</v>
      </c>
      <c r="P109" s="22">
        <f t="shared" si="33"/>
        <v>0</v>
      </c>
      <c r="Q109" s="22">
        <f t="shared" si="34"/>
        <v>0</v>
      </c>
      <c r="R109" s="22">
        <f t="shared" si="24"/>
        <v>1124841.6570796459</v>
      </c>
      <c r="S109" s="98">
        <f t="shared" si="35"/>
        <v>115.58333333333334</v>
      </c>
      <c r="T109" s="75">
        <f t="shared" si="36"/>
        <v>9731.8672566371661</v>
      </c>
      <c r="U109" s="67"/>
      <c r="V109" s="75">
        <f t="shared" si="37"/>
        <v>1155833.3333333335</v>
      </c>
      <c r="W109" s="75">
        <f t="shared" si="38"/>
        <v>0</v>
      </c>
      <c r="X109" s="75">
        <f t="shared" si="39"/>
        <v>1155833.3333333335</v>
      </c>
      <c r="Y109" s="75">
        <f>VLOOKUP(A109,'2425 Funding Detail'!$A$4:$AA$20,17,FALSE)</f>
        <v>1760935.4570796459</v>
      </c>
      <c r="Z109" s="75"/>
      <c r="AA109" s="75"/>
      <c r="AB109" s="75">
        <f t="shared" si="40"/>
        <v>605102.12374631246</v>
      </c>
      <c r="AC109" s="75">
        <f t="shared" si="25"/>
        <v>250853.43990924995</v>
      </c>
      <c r="AD109" s="75">
        <f t="shared" si="26"/>
        <v>354248.68383706262</v>
      </c>
      <c r="AE109" s="75">
        <f t="shared" si="41"/>
        <v>605102.12374631257</v>
      </c>
      <c r="AF109" s="75">
        <f t="shared" si="27"/>
        <v>0</v>
      </c>
      <c r="AG109" s="75">
        <f t="shared" si="28"/>
        <v>0</v>
      </c>
      <c r="AH109" s="75">
        <f t="shared" si="42"/>
        <v>0</v>
      </c>
      <c r="AI109" s="75">
        <f t="shared" si="43"/>
        <v>605102.12374631257</v>
      </c>
      <c r="AJ109" s="99"/>
      <c r="AK109" s="528">
        <f t="shared" si="44"/>
        <v>1760935.4570796462</v>
      </c>
      <c r="AL109" s="76" t="s">
        <v>61</v>
      </c>
      <c r="AM109" s="105"/>
      <c r="AN109" s="65">
        <f t="shared" si="45"/>
        <v>79807.734513274336</v>
      </c>
      <c r="AO109" s="89"/>
      <c r="AP109" s="89"/>
      <c r="AQ109" s="527"/>
      <c r="AR109" s="529"/>
      <c r="AS109" s="529"/>
      <c r="AT109" s="529"/>
      <c r="AU109" s="15"/>
      <c r="AV109" s="15"/>
      <c r="AW109" s="15"/>
      <c r="AX109" s="15"/>
      <c r="AY109" s="15"/>
      <c r="AZ109" s="15"/>
      <c r="BA109" s="15"/>
      <c r="BB109" s="15"/>
      <c r="BC109" s="15"/>
      <c r="BD109" s="15"/>
    </row>
    <row r="110" spans="1:56" ht="13" x14ac:dyDescent="0.3">
      <c r="A110" s="74">
        <v>9257008</v>
      </c>
      <c r="B110" s="67" t="s">
        <v>67</v>
      </c>
      <c r="C110" s="68">
        <v>4</v>
      </c>
      <c r="D110" s="75">
        <f t="shared" si="16"/>
        <v>428770</v>
      </c>
      <c r="E110" s="75">
        <f t="shared" si="17"/>
        <v>600278</v>
      </c>
      <c r="F110" s="22">
        <f t="shared" si="29"/>
        <v>1029048</v>
      </c>
      <c r="G110" s="75">
        <f t="shared" si="18"/>
        <v>0</v>
      </c>
      <c r="H110" s="75">
        <f t="shared" si="19"/>
        <v>0</v>
      </c>
      <c r="I110" s="22">
        <f t="shared" si="30"/>
        <v>0</v>
      </c>
      <c r="J110" s="22">
        <f t="shared" si="31"/>
        <v>1029048</v>
      </c>
      <c r="K110" s="75">
        <f t="shared" si="20"/>
        <v>0</v>
      </c>
      <c r="L110" s="75">
        <f t="shared" si="21"/>
        <v>0</v>
      </c>
      <c r="M110" s="22">
        <f t="shared" si="32"/>
        <v>0</v>
      </c>
      <c r="N110" s="75">
        <f t="shared" si="22"/>
        <v>0</v>
      </c>
      <c r="O110" s="75">
        <f t="shared" si="23"/>
        <v>0</v>
      </c>
      <c r="P110" s="22">
        <f t="shared" si="33"/>
        <v>0</v>
      </c>
      <c r="Q110" s="22">
        <f t="shared" si="34"/>
        <v>0</v>
      </c>
      <c r="R110" s="22">
        <f t="shared" si="24"/>
        <v>1029048</v>
      </c>
      <c r="S110" s="98">
        <f t="shared" si="35"/>
        <v>101</v>
      </c>
      <c r="T110" s="75">
        <f t="shared" si="36"/>
        <v>10188.594059405941</v>
      </c>
      <c r="U110" s="67"/>
      <c r="V110" s="75">
        <f t="shared" si="37"/>
        <v>1010000.0000000001</v>
      </c>
      <c r="W110" s="75">
        <f t="shared" si="38"/>
        <v>0</v>
      </c>
      <c r="X110" s="75">
        <f t="shared" si="39"/>
        <v>1010000.0000000001</v>
      </c>
      <c r="Y110" s="75">
        <f>VLOOKUP(A110,'2425 Funding Detail'!$A$4:$AA$20,17,FALSE)</f>
        <v>1597634.4</v>
      </c>
      <c r="Z110" s="75"/>
      <c r="AA110" s="75"/>
      <c r="AB110" s="75">
        <f t="shared" si="40"/>
        <v>587634.39999999979</v>
      </c>
      <c r="AC110" s="75">
        <f t="shared" si="25"/>
        <v>244847.6666666666</v>
      </c>
      <c r="AD110" s="75">
        <f t="shared" si="26"/>
        <v>342786.73333333316</v>
      </c>
      <c r="AE110" s="75">
        <f t="shared" si="41"/>
        <v>587634.39999999979</v>
      </c>
      <c r="AF110" s="75">
        <f t="shared" si="27"/>
        <v>0</v>
      </c>
      <c r="AG110" s="75">
        <f t="shared" si="28"/>
        <v>0</v>
      </c>
      <c r="AH110" s="75">
        <f t="shared" si="42"/>
        <v>0</v>
      </c>
      <c r="AI110" s="75">
        <f t="shared" si="43"/>
        <v>587634.39999999979</v>
      </c>
      <c r="AJ110" s="99"/>
      <c r="AK110" s="528">
        <f t="shared" si="44"/>
        <v>1597634.4</v>
      </c>
      <c r="AL110" s="76" t="s">
        <v>61</v>
      </c>
      <c r="AM110" s="105"/>
      <c r="AN110" s="65">
        <f t="shared" si="45"/>
        <v>0</v>
      </c>
      <c r="AO110" s="89"/>
      <c r="AP110" s="89"/>
      <c r="AQ110" s="527"/>
      <c r="AR110" s="529"/>
      <c r="AS110" s="529"/>
      <c r="AT110" s="529"/>
      <c r="AU110" s="15"/>
      <c r="AV110" s="15"/>
      <c r="AW110" s="15"/>
      <c r="AX110" s="15"/>
      <c r="AY110" s="15"/>
      <c r="AZ110" s="15"/>
      <c r="BA110" s="15"/>
      <c r="BB110" s="15"/>
      <c r="BC110" s="15"/>
      <c r="BD110" s="15"/>
    </row>
    <row r="111" spans="1:56" ht="13" x14ac:dyDescent="0.3">
      <c r="A111" s="74">
        <v>9257034</v>
      </c>
      <c r="B111" s="67" t="s">
        <v>75</v>
      </c>
      <c r="C111" s="68">
        <v>5</v>
      </c>
      <c r="D111" s="75">
        <f t="shared" si="16"/>
        <v>422526.19230769237</v>
      </c>
      <c r="E111" s="75">
        <f t="shared" si="17"/>
        <v>630600.41153846157</v>
      </c>
      <c r="F111" s="22">
        <f t="shared" si="29"/>
        <v>1053126.6038461539</v>
      </c>
      <c r="G111" s="75">
        <f t="shared" si="18"/>
        <v>82910.8</v>
      </c>
      <c r="H111" s="75">
        <f t="shared" si="19"/>
        <v>178577.10769230771</v>
      </c>
      <c r="I111" s="22">
        <f t="shared" si="30"/>
        <v>261487.90769230772</v>
      </c>
      <c r="J111" s="22">
        <f t="shared" si="31"/>
        <v>1314614.5115384618</v>
      </c>
      <c r="K111" s="75">
        <f t="shared" si="20"/>
        <v>0</v>
      </c>
      <c r="L111" s="75">
        <f t="shared" si="21"/>
        <v>0</v>
      </c>
      <c r="M111" s="22">
        <f t="shared" si="32"/>
        <v>0</v>
      </c>
      <c r="N111" s="75">
        <f t="shared" si="22"/>
        <v>0</v>
      </c>
      <c r="O111" s="75">
        <f t="shared" si="23"/>
        <v>0</v>
      </c>
      <c r="P111" s="22">
        <f t="shared" si="33"/>
        <v>0</v>
      </c>
      <c r="Q111" s="22">
        <f t="shared" si="34"/>
        <v>0</v>
      </c>
      <c r="R111" s="22">
        <f t="shared" si="24"/>
        <v>1314614.5115384618</v>
      </c>
      <c r="S111" s="98">
        <f t="shared" si="35"/>
        <v>137.41666666666669</v>
      </c>
      <c r="T111" s="75">
        <f t="shared" si="36"/>
        <v>9566.6307692307691</v>
      </c>
      <c r="U111" s="67"/>
      <c r="V111" s="75">
        <f t="shared" si="37"/>
        <v>1100833.3333333335</v>
      </c>
      <c r="W111" s="75">
        <f t="shared" si="38"/>
        <v>273333.33333333331</v>
      </c>
      <c r="X111" s="75">
        <f t="shared" si="39"/>
        <v>1374166.6666666667</v>
      </c>
      <c r="Y111" s="75">
        <f>VLOOKUP(A111,'2425 Funding Detail'!$A$4:$AA$20,17,FALSE)</f>
        <v>2029596.0063988322</v>
      </c>
      <c r="Z111" s="75"/>
      <c r="AA111" s="75"/>
      <c r="AB111" s="75">
        <f t="shared" si="40"/>
        <v>655429.33973216545</v>
      </c>
      <c r="AC111" s="75">
        <f t="shared" si="25"/>
        <v>210659.52095697241</v>
      </c>
      <c r="AD111" s="75">
        <f t="shared" si="26"/>
        <v>314399.39825842489</v>
      </c>
      <c r="AE111" s="75">
        <f t="shared" si="41"/>
        <v>525058.91921539733</v>
      </c>
      <c r="AF111" s="75">
        <f t="shared" si="27"/>
        <v>41336.962602877604</v>
      </c>
      <c r="AG111" s="75">
        <f t="shared" si="28"/>
        <v>89033.457913890219</v>
      </c>
      <c r="AH111" s="75">
        <f t="shared" si="42"/>
        <v>130370.42051676783</v>
      </c>
      <c r="AI111" s="75">
        <f t="shared" si="43"/>
        <v>655429.33973216522</v>
      </c>
      <c r="AJ111" s="99"/>
      <c r="AK111" s="528">
        <f t="shared" si="44"/>
        <v>2029596.0063988317</v>
      </c>
      <c r="AL111" s="76" t="s">
        <v>61</v>
      </c>
      <c r="AM111" s="105"/>
      <c r="AN111" s="65">
        <f t="shared" si="45"/>
        <v>54983.579487179486</v>
      </c>
      <c r="AO111" s="89"/>
      <c r="AP111" s="89"/>
      <c r="AQ111" s="527"/>
      <c r="AR111" s="529"/>
      <c r="AS111" s="529"/>
      <c r="AT111" s="529"/>
      <c r="AU111" s="15"/>
      <c r="AV111" s="15"/>
      <c r="AW111" s="15"/>
      <c r="AX111" s="15"/>
      <c r="AY111" s="15"/>
      <c r="AZ111" s="15"/>
      <c r="BA111" s="15"/>
      <c r="BB111" s="15"/>
      <c r="BC111" s="15"/>
      <c r="BD111" s="15"/>
    </row>
    <row r="112" spans="1:56" ht="13" x14ac:dyDescent="0.3">
      <c r="A112" s="74">
        <v>9257002</v>
      </c>
      <c r="B112" s="67" t="s">
        <v>68</v>
      </c>
      <c r="C112" s="68">
        <v>5</v>
      </c>
      <c r="D112" s="75">
        <f t="shared" si="16"/>
        <v>773765.38461538462</v>
      </c>
      <c r="E112" s="75">
        <f t="shared" si="17"/>
        <v>1077116.5865384615</v>
      </c>
      <c r="F112" s="22">
        <f t="shared" si="29"/>
        <v>1850881.971153846</v>
      </c>
      <c r="G112" s="75">
        <f t="shared" si="18"/>
        <v>0</v>
      </c>
      <c r="H112" s="75">
        <f t="shared" si="19"/>
        <v>0</v>
      </c>
      <c r="I112" s="22">
        <f t="shared" si="30"/>
        <v>0</v>
      </c>
      <c r="J112" s="22">
        <f t="shared" si="31"/>
        <v>1850881.971153846</v>
      </c>
      <c r="K112" s="75">
        <f t="shared" si="20"/>
        <v>0</v>
      </c>
      <c r="L112" s="75">
        <f t="shared" si="21"/>
        <v>0</v>
      </c>
      <c r="M112" s="22">
        <f t="shared" si="32"/>
        <v>0</v>
      </c>
      <c r="N112" s="75">
        <f t="shared" si="22"/>
        <v>0</v>
      </c>
      <c r="O112" s="75">
        <f t="shared" si="23"/>
        <v>0</v>
      </c>
      <c r="P112" s="22">
        <f t="shared" si="33"/>
        <v>0</v>
      </c>
      <c r="Q112" s="22">
        <f t="shared" si="34"/>
        <v>0</v>
      </c>
      <c r="R112" s="22">
        <f t="shared" si="24"/>
        <v>1850881.971153846</v>
      </c>
      <c r="S112" s="98">
        <f t="shared" si="35"/>
        <v>175.41666666666669</v>
      </c>
      <c r="T112" s="75">
        <f t="shared" si="36"/>
        <v>10551.346153846152</v>
      </c>
      <c r="U112" s="67"/>
      <c r="V112" s="75">
        <f t="shared" si="37"/>
        <v>1754166.6666666667</v>
      </c>
      <c r="W112" s="75">
        <f t="shared" si="38"/>
        <v>0</v>
      </c>
      <c r="X112" s="75">
        <f t="shared" si="39"/>
        <v>1754166.6666666667</v>
      </c>
      <c r="Y112" s="75">
        <f>VLOOKUP(A112,'2425 Funding Detail'!$A$4:$AA$20,17,FALSE)</f>
        <v>2588301.1711538462</v>
      </c>
      <c r="Z112" s="75"/>
      <c r="AA112" s="75"/>
      <c r="AB112" s="75">
        <f t="shared" si="40"/>
        <v>834134.50448717945</v>
      </c>
      <c r="AC112" s="75">
        <f t="shared" si="25"/>
        <v>348711.81185212248</v>
      </c>
      <c r="AD112" s="75">
        <f t="shared" si="26"/>
        <v>485422.69263505685</v>
      </c>
      <c r="AE112" s="75">
        <f t="shared" si="41"/>
        <v>834134.50448717934</v>
      </c>
      <c r="AF112" s="75">
        <f t="shared" si="27"/>
        <v>0</v>
      </c>
      <c r="AG112" s="75">
        <f t="shared" si="28"/>
        <v>0</v>
      </c>
      <c r="AH112" s="75">
        <f t="shared" si="42"/>
        <v>0</v>
      </c>
      <c r="AI112" s="75">
        <f t="shared" si="43"/>
        <v>834134.50448717934</v>
      </c>
      <c r="AJ112" s="99"/>
      <c r="AK112" s="528">
        <f t="shared" si="44"/>
        <v>2588301.1711538462</v>
      </c>
      <c r="AL112" s="76" t="s">
        <v>61</v>
      </c>
      <c r="AM112" s="105"/>
      <c r="AN112" s="65">
        <f t="shared" si="45"/>
        <v>58490.213675213679</v>
      </c>
      <c r="AO112" s="89"/>
      <c r="AP112" s="89"/>
      <c r="AQ112" s="527"/>
      <c r="AR112" s="529"/>
      <c r="AS112" s="529"/>
      <c r="AT112" s="529"/>
      <c r="AU112" s="15"/>
      <c r="AV112" s="15"/>
      <c r="AW112" s="15"/>
      <c r="AX112" s="15"/>
      <c r="AY112" s="15"/>
      <c r="AZ112" s="15"/>
      <c r="BA112" s="15"/>
      <c r="BB112" s="15"/>
      <c r="BC112" s="15"/>
      <c r="BD112" s="15"/>
    </row>
    <row r="113" spans="1:56" ht="13" x14ac:dyDescent="0.3">
      <c r="A113" s="74">
        <v>9257009</v>
      </c>
      <c r="B113" s="67" t="s">
        <v>334</v>
      </c>
      <c r="C113" s="68">
        <v>4</v>
      </c>
      <c r="D113" s="75">
        <f t="shared" si="16"/>
        <v>927090</v>
      </c>
      <c r="E113" s="75">
        <f t="shared" si="17"/>
        <v>1272096.6268656717</v>
      </c>
      <c r="F113" s="22">
        <f t="shared" si="29"/>
        <v>2199186.6268656719</v>
      </c>
      <c r="G113" s="75">
        <f t="shared" si="18"/>
        <v>40589.014925373136</v>
      </c>
      <c r="H113" s="75">
        <f t="shared" si="19"/>
        <v>140216.59701492536</v>
      </c>
      <c r="I113" s="22">
        <f t="shared" si="30"/>
        <v>180805.61194029849</v>
      </c>
      <c r="J113" s="22">
        <f t="shared" si="31"/>
        <v>2379992.2388059706</v>
      </c>
      <c r="K113" s="75">
        <f t="shared" si="20"/>
        <v>0</v>
      </c>
      <c r="L113" s="75">
        <f t="shared" si="21"/>
        <v>0</v>
      </c>
      <c r="M113" s="22">
        <f t="shared" si="32"/>
        <v>0</v>
      </c>
      <c r="N113" s="75">
        <f t="shared" si="22"/>
        <v>0</v>
      </c>
      <c r="O113" s="75">
        <f t="shared" si="23"/>
        <v>0</v>
      </c>
      <c r="P113" s="22">
        <f t="shared" si="33"/>
        <v>0</v>
      </c>
      <c r="Q113" s="22">
        <f t="shared" si="34"/>
        <v>0</v>
      </c>
      <c r="R113" s="22">
        <f t="shared" si="24"/>
        <v>2379992.2388059706</v>
      </c>
      <c r="S113" s="98">
        <f t="shared" si="35"/>
        <v>215</v>
      </c>
      <c r="T113" s="75">
        <f t="shared" si="36"/>
        <v>11069.731343283584</v>
      </c>
      <c r="U113" s="67"/>
      <c r="V113" s="75">
        <f t="shared" si="37"/>
        <v>1986666.6666666667</v>
      </c>
      <c r="W113" s="75">
        <f t="shared" si="38"/>
        <v>163333.33333333331</v>
      </c>
      <c r="X113" s="75">
        <f t="shared" si="39"/>
        <v>2150000</v>
      </c>
      <c r="Y113" s="75">
        <f>VLOOKUP(A113,'2425 Funding Detail'!$A$4:$AA$20,17,FALSE)</f>
        <v>3291145.4935608902</v>
      </c>
      <c r="Z113" s="75"/>
      <c r="AA113" s="75"/>
      <c r="AB113" s="75">
        <f t="shared" si="40"/>
        <v>1141145.4935608902</v>
      </c>
      <c r="AC113" s="75">
        <f t="shared" si="25"/>
        <v>444515.97714290489</v>
      </c>
      <c r="AD113" s="75">
        <f t="shared" si="26"/>
        <v>609937.84326374694</v>
      </c>
      <c r="AE113" s="75">
        <f t="shared" si="41"/>
        <v>1054453.8204066518</v>
      </c>
      <c r="AF113" s="75">
        <f t="shared" si="27"/>
        <v>19461.396014216731</v>
      </c>
      <c r="AG113" s="75">
        <f t="shared" si="28"/>
        <v>67230.277140021441</v>
      </c>
      <c r="AH113" s="75">
        <f t="shared" si="42"/>
        <v>86691.673154238175</v>
      </c>
      <c r="AI113" s="75">
        <f t="shared" si="43"/>
        <v>1141145.49356089</v>
      </c>
      <c r="AJ113" s="99"/>
      <c r="AK113" s="528">
        <f t="shared" si="44"/>
        <v>3291145.4935608902</v>
      </c>
      <c r="AL113" s="76" t="s">
        <v>61</v>
      </c>
      <c r="AM113" s="105"/>
      <c r="AN113" s="65">
        <f t="shared" si="45"/>
        <v>333834.02985074627</v>
      </c>
      <c r="AO113" s="89"/>
      <c r="AP113" s="89"/>
      <c r="AQ113" s="527"/>
      <c r="AR113" s="529"/>
      <c r="AS113" s="529"/>
      <c r="AT113" s="529"/>
      <c r="AU113" s="15"/>
      <c r="AV113" s="15"/>
      <c r="AW113" s="15"/>
      <c r="AX113" s="15"/>
      <c r="AY113" s="15"/>
      <c r="AZ113" s="15"/>
      <c r="BA113" s="15"/>
      <c r="BB113" s="15"/>
      <c r="BC113" s="15"/>
      <c r="BD113" s="15"/>
    </row>
    <row r="114" spans="1:56" ht="13" x14ac:dyDescent="0.3">
      <c r="A114" s="74">
        <v>9257029</v>
      </c>
      <c r="B114" s="67" t="s">
        <v>278</v>
      </c>
      <c r="C114" s="68">
        <v>3</v>
      </c>
      <c r="D114" s="75">
        <f t="shared" si="16"/>
        <v>527818.75</v>
      </c>
      <c r="E114" s="75">
        <f t="shared" si="17"/>
        <v>767007.5</v>
      </c>
      <c r="F114" s="22">
        <f t="shared" si="29"/>
        <v>1294826.25</v>
      </c>
      <c r="G114" s="75">
        <f t="shared" si="18"/>
        <v>0</v>
      </c>
      <c r="H114" s="75">
        <f t="shared" si="19"/>
        <v>0</v>
      </c>
      <c r="I114" s="22">
        <f t="shared" si="30"/>
        <v>0</v>
      </c>
      <c r="J114" s="22">
        <f t="shared" si="31"/>
        <v>1294826.25</v>
      </c>
      <c r="K114" s="75">
        <f t="shared" si="20"/>
        <v>0</v>
      </c>
      <c r="L114" s="75">
        <f t="shared" si="21"/>
        <v>0</v>
      </c>
      <c r="M114" s="22">
        <f t="shared" si="32"/>
        <v>0</v>
      </c>
      <c r="N114" s="75">
        <f t="shared" si="22"/>
        <v>0</v>
      </c>
      <c r="O114" s="75">
        <f t="shared" si="23"/>
        <v>0</v>
      </c>
      <c r="P114" s="22">
        <f t="shared" si="33"/>
        <v>0</v>
      </c>
      <c r="Q114" s="22">
        <f t="shared" si="34"/>
        <v>0</v>
      </c>
      <c r="R114" s="22">
        <f t="shared" si="24"/>
        <v>1294826.25</v>
      </c>
      <c r="S114" s="98">
        <f t="shared" si="35"/>
        <v>80.75</v>
      </c>
      <c r="T114" s="75">
        <f t="shared" si="36"/>
        <v>16035</v>
      </c>
      <c r="U114" s="67"/>
      <c r="V114" s="75">
        <f t="shared" si="37"/>
        <v>807500</v>
      </c>
      <c r="W114" s="75">
        <f t="shared" si="38"/>
        <v>0</v>
      </c>
      <c r="X114" s="75">
        <f t="shared" si="39"/>
        <v>807500</v>
      </c>
      <c r="Y114" s="75">
        <f>VLOOKUP(A114,'2425 Funding Detail'!$A$4:$AA$20,17,FALSE)</f>
        <v>1850078.65</v>
      </c>
      <c r="Z114" s="75"/>
      <c r="AA114" s="75"/>
      <c r="AB114" s="75">
        <f t="shared" si="40"/>
        <v>1042578.6499999999</v>
      </c>
      <c r="AC114" s="75">
        <f t="shared" si="25"/>
        <v>424993.36093911243</v>
      </c>
      <c r="AD114" s="75">
        <f t="shared" si="26"/>
        <v>617585.28906088741</v>
      </c>
      <c r="AE114" s="75">
        <f t="shared" si="41"/>
        <v>1042578.6499999999</v>
      </c>
      <c r="AF114" s="75">
        <f t="shared" si="27"/>
        <v>0</v>
      </c>
      <c r="AG114" s="75">
        <f t="shared" si="28"/>
        <v>0</v>
      </c>
      <c r="AH114" s="75">
        <f t="shared" si="42"/>
        <v>0</v>
      </c>
      <c r="AI114" s="75">
        <f t="shared" si="43"/>
        <v>1042578.6499999999</v>
      </c>
      <c r="AJ114" s="99"/>
      <c r="AK114" s="528">
        <f t="shared" si="44"/>
        <v>1850078.65</v>
      </c>
      <c r="AL114" s="76" t="s">
        <v>61</v>
      </c>
      <c r="AM114" s="105"/>
      <c r="AN114" s="65">
        <f t="shared" si="45"/>
        <v>0</v>
      </c>
      <c r="AO114" s="89"/>
      <c r="AP114" s="89"/>
      <c r="AQ114" s="527"/>
      <c r="AR114" s="529"/>
      <c r="AS114" s="529"/>
      <c r="AT114" s="529"/>
      <c r="AU114" s="15"/>
      <c r="AV114" s="15"/>
      <c r="AW114" s="15"/>
      <c r="AX114" s="15"/>
      <c r="AY114" s="15"/>
      <c r="AZ114" s="15"/>
      <c r="BA114" s="15"/>
      <c r="BB114" s="15"/>
      <c r="BC114" s="15"/>
      <c r="BD114" s="15"/>
    </row>
    <row r="115" spans="1:56" ht="13" x14ac:dyDescent="0.3">
      <c r="A115" s="74">
        <v>9257032</v>
      </c>
      <c r="B115" s="67" t="s">
        <v>380</v>
      </c>
      <c r="C115" s="68">
        <v>4</v>
      </c>
      <c r="D115" s="75">
        <f t="shared" si="16"/>
        <v>768343.75</v>
      </c>
      <c r="E115" s="75">
        <f t="shared" si="17"/>
        <v>1075681.25</v>
      </c>
      <c r="F115" s="22">
        <f t="shared" si="29"/>
        <v>1844025</v>
      </c>
      <c r="G115" s="75">
        <f t="shared" si="18"/>
        <v>0</v>
      </c>
      <c r="H115" s="75">
        <f t="shared" si="19"/>
        <v>0</v>
      </c>
      <c r="I115" s="22">
        <f t="shared" si="30"/>
        <v>0</v>
      </c>
      <c r="J115" s="22">
        <f t="shared" si="31"/>
        <v>1844025</v>
      </c>
      <c r="K115" s="75">
        <f t="shared" si="20"/>
        <v>0</v>
      </c>
      <c r="L115" s="75">
        <f t="shared" si="21"/>
        <v>0</v>
      </c>
      <c r="M115" s="22">
        <f t="shared" si="32"/>
        <v>0</v>
      </c>
      <c r="N115" s="75">
        <f t="shared" si="22"/>
        <v>0</v>
      </c>
      <c r="O115" s="75">
        <f t="shared" si="23"/>
        <v>0</v>
      </c>
      <c r="P115" s="22">
        <f t="shared" si="33"/>
        <v>0</v>
      </c>
      <c r="Q115" s="22">
        <f t="shared" si="34"/>
        <v>0</v>
      </c>
      <c r="R115" s="22">
        <f t="shared" si="24"/>
        <v>1844025</v>
      </c>
      <c r="S115" s="98">
        <f t="shared" si="35"/>
        <v>115.00000000000001</v>
      </c>
      <c r="T115" s="75">
        <f t="shared" si="36"/>
        <v>16034.999999999998</v>
      </c>
      <c r="U115" s="67"/>
      <c r="V115" s="75">
        <f t="shared" si="37"/>
        <v>1150000</v>
      </c>
      <c r="W115" s="75">
        <f t="shared" si="38"/>
        <v>0</v>
      </c>
      <c r="X115" s="75">
        <f t="shared" si="39"/>
        <v>1150000</v>
      </c>
      <c r="Y115" s="75">
        <f>VLOOKUP(A115,'2425 Funding Detail'!$A$4:$AA$20,17,FALSE)</f>
        <v>2370121.6</v>
      </c>
      <c r="Z115" s="75"/>
      <c r="AA115" s="75"/>
      <c r="AB115" s="75">
        <f t="shared" si="40"/>
        <v>1220121.6000000001</v>
      </c>
      <c r="AC115" s="75">
        <f t="shared" si="25"/>
        <v>508383.99999999994</v>
      </c>
      <c r="AD115" s="75">
        <f t="shared" si="26"/>
        <v>711737.59999999986</v>
      </c>
      <c r="AE115" s="75">
        <f t="shared" si="41"/>
        <v>1220121.5999999999</v>
      </c>
      <c r="AF115" s="75">
        <f t="shared" si="27"/>
        <v>0</v>
      </c>
      <c r="AG115" s="75">
        <f t="shared" si="28"/>
        <v>0</v>
      </c>
      <c r="AH115" s="75">
        <f t="shared" si="42"/>
        <v>0</v>
      </c>
      <c r="AI115" s="75">
        <f t="shared" si="43"/>
        <v>1220121.5999999999</v>
      </c>
      <c r="AJ115" s="99"/>
      <c r="AK115" s="528">
        <f t="shared" si="44"/>
        <v>2370121.5999999996</v>
      </c>
      <c r="AL115" s="76" t="s">
        <v>61</v>
      </c>
      <c r="AM115" s="105"/>
      <c r="AN115" s="65">
        <f t="shared" si="45"/>
        <v>0</v>
      </c>
      <c r="AO115" s="89"/>
      <c r="AP115" s="89"/>
      <c r="AQ115" s="527"/>
      <c r="AR115" s="529"/>
      <c r="AS115" s="529"/>
      <c r="AT115" s="529"/>
      <c r="AU115" s="15"/>
      <c r="AV115" s="15"/>
      <c r="AW115" s="15"/>
      <c r="AX115" s="15"/>
      <c r="AY115" s="15"/>
      <c r="AZ115" s="15"/>
      <c r="BA115" s="15"/>
      <c r="BB115" s="15"/>
      <c r="BC115" s="15"/>
      <c r="BD115" s="15"/>
    </row>
    <row r="116" spans="1:56" ht="13" x14ac:dyDescent="0.3">
      <c r="A116" s="74">
        <v>9257030</v>
      </c>
      <c r="B116" s="67" t="s">
        <v>383</v>
      </c>
      <c r="C116" s="68">
        <v>4</v>
      </c>
      <c r="D116" s="75">
        <f t="shared" si="16"/>
        <v>467687.5</v>
      </c>
      <c r="E116" s="75">
        <f t="shared" si="17"/>
        <v>710885</v>
      </c>
      <c r="F116" s="22">
        <f t="shared" si="29"/>
        <v>1178572.5</v>
      </c>
      <c r="G116" s="75">
        <f t="shared" si="18"/>
        <v>0</v>
      </c>
      <c r="H116" s="75">
        <f t="shared" si="19"/>
        <v>0</v>
      </c>
      <c r="I116" s="22">
        <f t="shared" si="30"/>
        <v>0</v>
      </c>
      <c r="J116" s="22">
        <f t="shared" si="31"/>
        <v>1178572.5</v>
      </c>
      <c r="K116" s="75">
        <f t="shared" si="20"/>
        <v>0</v>
      </c>
      <c r="L116" s="75">
        <f t="shared" si="21"/>
        <v>0</v>
      </c>
      <c r="M116" s="22">
        <f t="shared" si="32"/>
        <v>0</v>
      </c>
      <c r="N116" s="75">
        <f t="shared" si="22"/>
        <v>0</v>
      </c>
      <c r="O116" s="75">
        <f t="shared" si="23"/>
        <v>0</v>
      </c>
      <c r="P116" s="22">
        <f t="shared" si="33"/>
        <v>0</v>
      </c>
      <c r="Q116" s="22">
        <f t="shared" si="34"/>
        <v>0</v>
      </c>
      <c r="R116" s="22">
        <f t="shared" si="24"/>
        <v>1178572.5</v>
      </c>
      <c r="S116" s="98">
        <f t="shared" si="35"/>
        <v>73.5</v>
      </c>
      <c r="T116" s="75">
        <f t="shared" si="36"/>
        <v>16035</v>
      </c>
      <c r="U116" s="67"/>
      <c r="V116" s="75">
        <f t="shared" si="37"/>
        <v>735000</v>
      </c>
      <c r="W116" s="75">
        <f t="shared" si="38"/>
        <v>0</v>
      </c>
      <c r="X116" s="75">
        <f t="shared" si="39"/>
        <v>735000</v>
      </c>
      <c r="Y116" s="75">
        <f>VLOOKUP(A116,'2425 Funding Detail'!$A$4:$AA$20,17,FALSE)</f>
        <v>1701727.9</v>
      </c>
      <c r="Z116" s="75"/>
      <c r="AA116" s="75"/>
      <c r="AB116" s="75">
        <f t="shared" si="40"/>
        <v>966727.89999999991</v>
      </c>
      <c r="AC116" s="75">
        <f t="shared" si="25"/>
        <v>383622.18253968249</v>
      </c>
      <c r="AD116" s="75">
        <f t="shared" si="26"/>
        <v>583105.71746031742</v>
      </c>
      <c r="AE116" s="75">
        <f t="shared" si="41"/>
        <v>966727.89999999991</v>
      </c>
      <c r="AF116" s="75">
        <f t="shared" si="27"/>
        <v>0</v>
      </c>
      <c r="AG116" s="75">
        <f t="shared" si="28"/>
        <v>0</v>
      </c>
      <c r="AH116" s="75">
        <f t="shared" si="42"/>
        <v>0</v>
      </c>
      <c r="AI116" s="75">
        <f t="shared" si="43"/>
        <v>966727.89999999991</v>
      </c>
      <c r="AJ116" s="99"/>
      <c r="AK116" s="528">
        <f t="shared" si="44"/>
        <v>1701727.9</v>
      </c>
      <c r="AL116" s="76" t="s">
        <v>61</v>
      </c>
      <c r="AM116" s="105"/>
      <c r="AN116" s="65">
        <f t="shared" si="45"/>
        <v>0</v>
      </c>
      <c r="AO116" s="89"/>
      <c r="AP116" s="89"/>
      <c r="AQ116" s="527"/>
      <c r="AR116" s="529"/>
      <c r="AS116" s="529"/>
      <c r="AT116" s="529"/>
      <c r="AU116" s="15"/>
      <c r="AV116" s="15"/>
      <c r="AW116" s="15"/>
      <c r="AX116" s="15"/>
      <c r="AY116" s="15"/>
      <c r="AZ116" s="15"/>
      <c r="BA116" s="15"/>
      <c r="BB116" s="15"/>
      <c r="BC116" s="15"/>
      <c r="BD116" s="15"/>
    </row>
    <row r="117" spans="1:56" ht="13" x14ac:dyDescent="0.3">
      <c r="A117" s="74">
        <v>9257028</v>
      </c>
      <c r="B117" s="67" t="s">
        <v>70</v>
      </c>
      <c r="C117" s="68">
        <v>5</v>
      </c>
      <c r="D117" s="75">
        <f t="shared" si="16"/>
        <v>777998.35271317826</v>
      </c>
      <c r="E117" s="75">
        <f t="shared" si="17"/>
        <v>1064062.3624031008</v>
      </c>
      <c r="F117" s="22">
        <f t="shared" si="29"/>
        <v>1842060.7151162792</v>
      </c>
      <c r="G117" s="75">
        <f t="shared" si="18"/>
        <v>52664.503875968992</v>
      </c>
      <c r="H117" s="75">
        <f t="shared" si="19"/>
        <v>172356.5581395349</v>
      </c>
      <c r="I117" s="22">
        <f t="shared" si="30"/>
        <v>225021.06201550388</v>
      </c>
      <c r="J117" s="22">
        <f t="shared" si="31"/>
        <v>2067081.7771317831</v>
      </c>
      <c r="K117" s="75">
        <f t="shared" si="20"/>
        <v>0</v>
      </c>
      <c r="L117" s="75">
        <f t="shared" si="21"/>
        <v>0</v>
      </c>
      <c r="M117" s="22">
        <f t="shared" si="32"/>
        <v>0</v>
      </c>
      <c r="N117" s="75">
        <f t="shared" si="22"/>
        <v>0</v>
      </c>
      <c r="O117" s="75">
        <f t="shared" si="23"/>
        <v>0</v>
      </c>
      <c r="P117" s="22">
        <f t="shared" si="33"/>
        <v>0</v>
      </c>
      <c r="Q117" s="22">
        <f t="shared" si="34"/>
        <v>0</v>
      </c>
      <c r="R117" s="22">
        <f t="shared" si="24"/>
        <v>2067081.7771317831</v>
      </c>
      <c r="S117" s="98">
        <f t="shared" si="35"/>
        <v>143.91666666666666</v>
      </c>
      <c r="T117" s="75">
        <f t="shared" si="36"/>
        <v>14363.046511627908</v>
      </c>
      <c r="U117" s="67"/>
      <c r="V117" s="75">
        <f t="shared" si="37"/>
        <v>1282500</v>
      </c>
      <c r="W117" s="75">
        <f t="shared" si="38"/>
        <v>156666.66666666666</v>
      </c>
      <c r="X117" s="75">
        <f t="shared" si="39"/>
        <v>1439166.6666666667</v>
      </c>
      <c r="Y117" s="75">
        <f>VLOOKUP(A117,'2425 Funding Detail'!$A$4:$AA$20,17,FALSE)</f>
        <v>2873613.3771317829</v>
      </c>
      <c r="Z117" s="75"/>
      <c r="AA117" s="75"/>
      <c r="AB117" s="75">
        <f t="shared" si="40"/>
        <v>1434446.7104651162</v>
      </c>
      <c r="AC117" s="75">
        <f t="shared" si="25"/>
        <v>539890.19212641893</v>
      </c>
      <c r="AD117" s="75">
        <f t="shared" si="26"/>
        <v>738403.66276982531</v>
      </c>
      <c r="AE117" s="75">
        <f t="shared" si="41"/>
        <v>1278293.8548962441</v>
      </c>
      <c r="AF117" s="75">
        <f t="shared" si="27"/>
        <v>36546.413005480666</v>
      </c>
      <c r="AG117" s="75">
        <f t="shared" si="28"/>
        <v>119606.44256339128</v>
      </c>
      <c r="AH117" s="75">
        <f t="shared" si="42"/>
        <v>156152.85556887195</v>
      </c>
      <c r="AI117" s="75">
        <f t="shared" si="43"/>
        <v>1434446.710465116</v>
      </c>
      <c r="AJ117" s="99"/>
      <c r="AK117" s="528">
        <f t="shared" si="44"/>
        <v>2873613.3771317825</v>
      </c>
      <c r="AL117" s="76" t="s">
        <v>61</v>
      </c>
      <c r="AM117" s="105"/>
      <c r="AN117" s="65">
        <f t="shared" si="45"/>
        <v>580307.70025839785</v>
      </c>
      <c r="AO117" s="89"/>
      <c r="AP117" s="89"/>
      <c r="AQ117" s="527"/>
      <c r="AR117" s="529"/>
      <c r="AS117" s="529"/>
      <c r="AT117" s="529"/>
      <c r="AU117" s="15"/>
      <c r="AV117" s="15"/>
      <c r="AW117" s="15"/>
      <c r="AX117" s="15"/>
      <c r="AY117" s="15"/>
      <c r="AZ117" s="15"/>
      <c r="BA117" s="15"/>
      <c r="BB117" s="15"/>
      <c r="BC117" s="15"/>
      <c r="BD117" s="15"/>
    </row>
    <row r="118" spans="1:56" ht="13" x14ac:dyDescent="0.3">
      <c r="A118" s="74">
        <v>9257021</v>
      </c>
      <c r="B118" s="67" t="s">
        <v>71</v>
      </c>
      <c r="C118" s="68">
        <v>5</v>
      </c>
      <c r="D118" s="75">
        <f t="shared" si="16"/>
        <v>748728.79549808428</v>
      </c>
      <c r="E118" s="75">
        <f t="shared" si="17"/>
        <v>1054076.2931034481</v>
      </c>
      <c r="F118" s="22">
        <f t="shared" si="29"/>
        <v>1802805.0886015324</v>
      </c>
      <c r="G118" s="75">
        <f t="shared" si="18"/>
        <v>0</v>
      </c>
      <c r="H118" s="75">
        <f t="shared" si="19"/>
        <v>0</v>
      </c>
      <c r="I118" s="22">
        <f t="shared" si="30"/>
        <v>0</v>
      </c>
      <c r="J118" s="22">
        <f t="shared" si="31"/>
        <v>1802805.0886015324</v>
      </c>
      <c r="K118" s="75">
        <f t="shared" si="20"/>
        <v>0</v>
      </c>
      <c r="L118" s="75">
        <f t="shared" si="21"/>
        <v>0</v>
      </c>
      <c r="M118" s="22">
        <f t="shared" si="32"/>
        <v>0</v>
      </c>
      <c r="N118" s="75">
        <f t="shared" si="22"/>
        <v>0</v>
      </c>
      <c r="O118" s="75">
        <f t="shared" si="23"/>
        <v>0</v>
      </c>
      <c r="P118" s="22">
        <f t="shared" si="33"/>
        <v>0</v>
      </c>
      <c r="Q118" s="22">
        <f t="shared" si="34"/>
        <v>0</v>
      </c>
      <c r="R118" s="22">
        <f t="shared" si="24"/>
        <v>1802805.0886015324</v>
      </c>
      <c r="S118" s="98">
        <f t="shared" si="35"/>
        <v>179.58333333333334</v>
      </c>
      <c r="T118" s="75">
        <f t="shared" si="36"/>
        <v>10038.821839080458</v>
      </c>
      <c r="U118" s="67"/>
      <c r="V118" s="75">
        <f t="shared" si="37"/>
        <v>1795833.3333333335</v>
      </c>
      <c r="W118" s="75">
        <f t="shared" si="38"/>
        <v>0</v>
      </c>
      <c r="X118" s="75">
        <f t="shared" si="39"/>
        <v>1795833.3333333335</v>
      </c>
      <c r="Y118" s="75">
        <f>VLOOKUP(A118,'2425 Funding Detail'!$A$4:$AA$20,17,FALSE)</f>
        <v>2543165.4886015323</v>
      </c>
      <c r="Z118" s="75"/>
      <c r="AA118" s="75"/>
      <c r="AB118" s="75">
        <f t="shared" si="40"/>
        <v>747332.15526819881</v>
      </c>
      <c r="AC118" s="75">
        <f t="shared" si="25"/>
        <v>310376.92759398511</v>
      </c>
      <c r="AD118" s="75">
        <f t="shared" si="26"/>
        <v>436955.22767421359</v>
      </c>
      <c r="AE118" s="75">
        <f t="shared" si="41"/>
        <v>747332.15526819869</v>
      </c>
      <c r="AF118" s="75">
        <f t="shared" si="27"/>
        <v>0</v>
      </c>
      <c r="AG118" s="75">
        <f t="shared" si="28"/>
        <v>0</v>
      </c>
      <c r="AH118" s="75">
        <f t="shared" si="42"/>
        <v>0</v>
      </c>
      <c r="AI118" s="75">
        <f t="shared" si="43"/>
        <v>747332.15526819869</v>
      </c>
      <c r="AJ118" s="99"/>
      <c r="AK118" s="528">
        <f t="shared" si="44"/>
        <v>2543165.4886015323</v>
      </c>
      <c r="AL118" s="76" t="s">
        <v>61</v>
      </c>
      <c r="AM118" s="105"/>
      <c r="AN118" s="65">
        <f t="shared" si="45"/>
        <v>53685.095785440615</v>
      </c>
      <c r="AO118" s="89"/>
      <c r="AP118" s="89"/>
      <c r="AQ118" s="527"/>
      <c r="AR118" s="529"/>
      <c r="AS118" s="529"/>
      <c r="AT118" s="529"/>
      <c r="AU118" s="15"/>
      <c r="AV118" s="15"/>
      <c r="AW118" s="15"/>
      <c r="AX118" s="15"/>
      <c r="AY118" s="15"/>
      <c r="AZ118" s="15"/>
      <c r="BA118" s="15"/>
      <c r="BB118" s="15"/>
      <c r="BC118" s="15"/>
      <c r="BD118" s="15"/>
    </row>
    <row r="119" spans="1:56" ht="13" x14ac:dyDescent="0.3">
      <c r="A119" s="74">
        <v>9257015</v>
      </c>
      <c r="B119" s="67" t="s">
        <v>72</v>
      </c>
      <c r="C119" s="68">
        <v>6</v>
      </c>
      <c r="D119" s="75">
        <f t="shared" si="16"/>
        <v>986538.58836206887</v>
      </c>
      <c r="E119" s="75">
        <f t="shared" si="17"/>
        <v>1909429.5258620691</v>
      </c>
      <c r="F119" s="22">
        <f t="shared" si="29"/>
        <v>2895968.1142241377</v>
      </c>
      <c r="G119" s="75">
        <f t="shared" si="18"/>
        <v>83651.198275862058</v>
      </c>
      <c r="H119" s="75">
        <f t="shared" si="19"/>
        <v>240042.56896551725</v>
      </c>
      <c r="I119" s="22">
        <f t="shared" si="30"/>
        <v>323693.7672413793</v>
      </c>
      <c r="J119" s="22">
        <f t="shared" si="31"/>
        <v>3219661.881465517</v>
      </c>
      <c r="K119" s="75">
        <f t="shared" si="20"/>
        <v>0</v>
      </c>
      <c r="L119" s="75">
        <f t="shared" si="21"/>
        <v>0</v>
      </c>
      <c r="M119" s="22">
        <f t="shared" si="32"/>
        <v>0</v>
      </c>
      <c r="N119" s="75">
        <f t="shared" si="22"/>
        <v>0</v>
      </c>
      <c r="O119" s="75">
        <f t="shared" si="23"/>
        <v>0</v>
      </c>
      <c r="P119" s="22">
        <f t="shared" si="33"/>
        <v>0</v>
      </c>
      <c r="Q119" s="22">
        <f t="shared" si="34"/>
        <v>0</v>
      </c>
      <c r="R119" s="22">
        <f t="shared" si="24"/>
        <v>3219661.881465517</v>
      </c>
      <c r="S119" s="98">
        <f t="shared" si="35"/>
        <v>295.08333333333337</v>
      </c>
      <c r="T119" s="75">
        <f t="shared" si="36"/>
        <v>10911.025862068964</v>
      </c>
      <c r="U119" s="67"/>
      <c r="V119" s="75">
        <f t="shared" si="37"/>
        <v>2654166.666666667</v>
      </c>
      <c r="W119" s="75">
        <f t="shared" si="38"/>
        <v>296666.66666666663</v>
      </c>
      <c r="X119" s="75">
        <f t="shared" si="39"/>
        <v>2950833.3333333335</v>
      </c>
      <c r="Y119" s="75">
        <f>VLOOKUP(A119,'2425 Funding Detail'!$A$4:$AA$20,17,FALSE)</f>
        <v>4217929.6814655168</v>
      </c>
      <c r="Z119" s="75"/>
      <c r="AA119" s="75"/>
      <c r="AB119" s="75">
        <f t="shared" si="40"/>
        <v>1267096.3481321833</v>
      </c>
      <c r="AC119" s="75">
        <f t="shared" si="25"/>
        <v>388251.77569144836</v>
      </c>
      <c r="AD119" s="75">
        <f t="shared" si="26"/>
        <v>751455.04972538387</v>
      </c>
      <c r="AE119" s="75">
        <f t="shared" si="41"/>
        <v>1139706.8254168322</v>
      </c>
      <c r="AF119" s="75">
        <f t="shared" si="27"/>
        <v>32920.887892731102</v>
      </c>
      <c r="AG119" s="75">
        <f t="shared" si="28"/>
        <v>94468.634822619701</v>
      </c>
      <c r="AH119" s="75">
        <f t="shared" si="42"/>
        <v>127389.5227153508</v>
      </c>
      <c r="AI119" s="75">
        <f t="shared" si="43"/>
        <v>1267096.3481321831</v>
      </c>
      <c r="AJ119" s="99"/>
      <c r="AK119" s="528">
        <f t="shared" si="44"/>
        <v>4217929.6814655168</v>
      </c>
      <c r="AL119" s="76" t="s">
        <v>61</v>
      </c>
      <c r="AM119" s="105"/>
      <c r="AN119" s="65">
        <f t="shared" si="45"/>
        <v>198479.1551724138</v>
      </c>
      <c r="AO119" s="89"/>
      <c r="AP119" s="89"/>
      <c r="AQ119" s="527"/>
      <c r="AR119" s="529"/>
      <c r="AS119" s="529"/>
      <c r="AT119" s="529"/>
      <c r="AU119" s="15"/>
      <c r="AV119" s="15"/>
      <c r="AW119" s="15"/>
      <c r="AX119" s="15"/>
      <c r="AY119" s="15"/>
      <c r="AZ119" s="15"/>
      <c r="BA119" s="15"/>
      <c r="BB119" s="15"/>
      <c r="BC119" s="15"/>
      <c r="BD119" s="15"/>
    </row>
    <row r="120" spans="1:56" ht="13" x14ac:dyDescent="0.3">
      <c r="A120" s="74">
        <v>9257016</v>
      </c>
      <c r="B120" s="67" t="s">
        <v>73</v>
      </c>
      <c r="C120" s="68">
        <v>6</v>
      </c>
      <c r="D120" s="75">
        <f t="shared" si="16"/>
        <v>733198.733974359</v>
      </c>
      <c r="E120" s="75">
        <f t="shared" si="17"/>
        <v>1080503.3974358975</v>
      </c>
      <c r="F120" s="22">
        <f t="shared" si="29"/>
        <v>1813702.1314102565</v>
      </c>
      <c r="G120" s="75">
        <f t="shared" si="18"/>
        <v>262407.96794871788</v>
      </c>
      <c r="H120" s="75">
        <f t="shared" si="19"/>
        <v>463072.88461538462</v>
      </c>
      <c r="I120" s="22">
        <f t="shared" si="30"/>
        <v>725480.8525641025</v>
      </c>
      <c r="J120" s="22">
        <f>F120+I120</f>
        <v>2539182.983974359</v>
      </c>
      <c r="K120" s="75">
        <f t="shared" si="20"/>
        <v>0</v>
      </c>
      <c r="L120" s="75">
        <f t="shared" si="21"/>
        <v>0</v>
      </c>
      <c r="M120" s="22">
        <f t="shared" si="32"/>
        <v>0</v>
      </c>
      <c r="N120" s="75">
        <f t="shared" si="22"/>
        <v>0</v>
      </c>
      <c r="O120" s="75">
        <f t="shared" si="23"/>
        <v>0</v>
      </c>
      <c r="P120" s="22">
        <f t="shared" si="33"/>
        <v>0</v>
      </c>
      <c r="Q120" s="22">
        <f t="shared" si="34"/>
        <v>0</v>
      </c>
      <c r="R120" s="22">
        <f t="shared" si="24"/>
        <v>2539182.983974359</v>
      </c>
      <c r="S120" s="98">
        <f t="shared" si="35"/>
        <v>164.5</v>
      </c>
      <c r="T120" s="75">
        <f t="shared" si="36"/>
        <v>15435.76282051282</v>
      </c>
      <c r="U120" s="67"/>
      <c r="V120" s="75">
        <f t="shared" si="37"/>
        <v>1175000</v>
      </c>
      <c r="W120" s="75">
        <f t="shared" si="38"/>
        <v>470000</v>
      </c>
      <c r="X120" s="75">
        <f t="shared" si="39"/>
        <v>1645000</v>
      </c>
      <c r="Y120" s="75">
        <f>VLOOKUP(A120,'2425 Funding Detail'!$A$4:$AA$20,17,FALSE)</f>
        <v>3398995.5839743591</v>
      </c>
      <c r="Z120" s="75"/>
      <c r="AA120" s="75"/>
      <c r="AB120" s="75">
        <f t="shared" si="40"/>
        <v>1753995.5839743591</v>
      </c>
      <c r="AC120" s="75">
        <f t="shared" si="25"/>
        <v>506472.88898955664</v>
      </c>
      <c r="AD120" s="75">
        <f t="shared" si="26"/>
        <v>746381.09956355719</v>
      </c>
      <c r="AE120" s="75">
        <f t="shared" si="41"/>
        <v>1252853.9885531138</v>
      </c>
      <c r="AF120" s="75">
        <f t="shared" si="27"/>
        <v>181263.98132257815</v>
      </c>
      <c r="AG120" s="75">
        <f t="shared" si="28"/>
        <v>319877.61409866734</v>
      </c>
      <c r="AH120" s="75">
        <f t="shared" si="42"/>
        <v>501141.5954212455</v>
      </c>
      <c r="AI120" s="75">
        <f t="shared" si="43"/>
        <v>1753995.5839743593</v>
      </c>
      <c r="AJ120" s="99"/>
      <c r="AK120" s="528">
        <f t="shared" si="44"/>
        <v>3398995.5839743591</v>
      </c>
      <c r="AL120" s="76" t="s">
        <v>61</v>
      </c>
      <c r="AM120" s="105"/>
      <c r="AN120" s="65">
        <f t="shared" si="45"/>
        <v>932453.48717948725</v>
      </c>
      <c r="AO120" s="89"/>
      <c r="AP120" s="89"/>
      <c r="AQ120" s="527"/>
      <c r="AR120" s="529"/>
      <c r="AS120" s="529"/>
      <c r="AT120" s="529"/>
      <c r="AU120" s="15"/>
      <c r="AV120" s="15"/>
      <c r="AW120" s="15"/>
      <c r="AX120" s="15"/>
      <c r="AY120" s="15"/>
      <c r="AZ120" s="15"/>
      <c r="BA120" s="15"/>
      <c r="BB120" s="15"/>
      <c r="BC120" s="15"/>
      <c r="BD120" s="15"/>
    </row>
    <row r="121" spans="1:56" x14ac:dyDescent="0.25">
      <c r="A121" s="15"/>
      <c r="B121" s="15"/>
      <c r="C121" s="15"/>
      <c r="D121" s="15"/>
      <c r="E121" s="15"/>
      <c r="F121" s="64"/>
      <c r="G121" s="64"/>
      <c r="H121" s="15"/>
      <c r="I121" s="15"/>
      <c r="J121" s="15"/>
      <c r="K121" s="15"/>
      <c r="L121" s="15"/>
      <c r="M121" s="15"/>
      <c r="N121" s="15"/>
      <c r="O121" s="15"/>
      <c r="P121" s="15"/>
      <c r="Q121" s="15"/>
      <c r="R121" s="64"/>
      <c r="S121" s="100"/>
      <c r="T121" s="15"/>
      <c r="U121" s="15"/>
      <c r="V121" s="15"/>
      <c r="W121" s="15"/>
      <c r="X121" s="15"/>
      <c r="Y121" s="15"/>
      <c r="Z121" s="15"/>
      <c r="AA121" s="15"/>
      <c r="AB121" s="15"/>
      <c r="AC121" s="15"/>
      <c r="AD121" s="15"/>
      <c r="AE121" s="15"/>
      <c r="AF121" s="15"/>
      <c r="AG121" s="15"/>
      <c r="AH121" s="15"/>
      <c r="AI121" s="15"/>
      <c r="AJ121" s="15"/>
      <c r="AK121" s="15"/>
      <c r="AL121" s="15"/>
      <c r="AM121" s="15"/>
      <c r="AN121" s="64"/>
      <c r="AO121" s="89"/>
      <c r="AP121" s="89"/>
      <c r="AQ121" s="527"/>
      <c r="AR121" s="527"/>
      <c r="AS121" s="527"/>
      <c r="AT121" s="527"/>
      <c r="AU121" s="15"/>
      <c r="AV121" s="15"/>
      <c r="AW121" s="15"/>
      <c r="AX121" s="15"/>
      <c r="AY121" s="15"/>
      <c r="AZ121" s="15"/>
      <c r="BA121" s="15"/>
      <c r="BB121" s="15"/>
      <c r="BC121" s="15"/>
      <c r="BD121" s="15"/>
    </row>
    <row r="122" spans="1:56" ht="13" thickBot="1" x14ac:dyDescent="0.3">
      <c r="A122" s="15"/>
      <c r="B122" s="15"/>
      <c r="C122" s="15"/>
      <c r="D122" s="79">
        <f t="shared" ref="D122:S122" si="46">SUM(D104:D120)</f>
        <v>10306366.117941201</v>
      </c>
      <c r="E122" s="79">
        <f t="shared" si="46"/>
        <v>15289688.616249118</v>
      </c>
      <c r="F122" s="79">
        <f t="shared" si="46"/>
        <v>25596054.734190315</v>
      </c>
      <c r="G122" s="79">
        <f t="shared" si="46"/>
        <v>881005.28392160323</v>
      </c>
      <c r="H122" s="79">
        <f t="shared" si="46"/>
        <v>1884297.2161402083</v>
      </c>
      <c r="I122" s="79">
        <f t="shared" si="46"/>
        <v>2765302.5000618114</v>
      </c>
      <c r="J122" s="79">
        <f t="shared" si="46"/>
        <v>28361357.234252129</v>
      </c>
      <c r="K122" s="79">
        <f t="shared" si="46"/>
        <v>0</v>
      </c>
      <c r="L122" s="79">
        <f t="shared" si="46"/>
        <v>0</v>
      </c>
      <c r="M122" s="79">
        <f t="shared" si="46"/>
        <v>0</v>
      </c>
      <c r="N122" s="79">
        <f t="shared" si="46"/>
        <v>0</v>
      </c>
      <c r="O122" s="79">
        <f t="shared" si="46"/>
        <v>0</v>
      </c>
      <c r="P122" s="79">
        <f t="shared" si="46"/>
        <v>0</v>
      </c>
      <c r="Q122" s="79">
        <f t="shared" si="46"/>
        <v>0</v>
      </c>
      <c r="R122" s="79">
        <f t="shared" si="46"/>
        <v>28361357.234252129</v>
      </c>
      <c r="S122" s="530">
        <f t="shared" si="46"/>
        <v>2310.0833333333335</v>
      </c>
      <c r="T122" s="79">
        <f>AVERAGE(T104:T120)</f>
        <v>12742.509807136166</v>
      </c>
      <c r="U122" s="15"/>
      <c r="V122" s="531">
        <f t="shared" ref="V122:AI122" si="47">SUM(V104:V120)</f>
        <v>20910833.333333336</v>
      </c>
      <c r="W122" s="531">
        <f t="shared" si="47"/>
        <v>2190000</v>
      </c>
      <c r="X122" s="532">
        <f t="shared" si="47"/>
        <v>23100833.333333332</v>
      </c>
      <c r="Y122" s="532">
        <f t="shared" si="47"/>
        <v>40111941.525739156</v>
      </c>
      <c r="Z122" s="532">
        <f t="shared" si="47"/>
        <v>0</v>
      </c>
      <c r="AA122" s="532">
        <f t="shared" si="47"/>
        <v>0</v>
      </c>
      <c r="AB122" s="532">
        <f t="shared" si="47"/>
        <v>17011108.192405824</v>
      </c>
      <c r="AC122" s="532">
        <f t="shared" si="47"/>
        <v>6180912.2658878816</v>
      </c>
      <c r="AD122" s="532">
        <f t="shared" si="47"/>
        <v>9095375.343538262</v>
      </c>
      <c r="AE122" s="532">
        <f t="shared" si="47"/>
        <v>15276287.609426141</v>
      </c>
      <c r="AF122" s="532">
        <f t="shared" si="47"/>
        <v>563331.7256602589</v>
      </c>
      <c r="AG122" s="532">
        <f t="shared" si="47"/>
        <v>1171488.8573194195</v>
      </c>
      <c r="AH122" s="532">
        <f t="shared" si="47"/>
        <v>1734820.5829796786</v>
      </c>
      <c r="AI122" s="532">
        <f t="shared" si="47"/>
        <v>17011108.19240582</v>
      </c>
      <c r="AJ122" s="533"/>
      <c r="AK122" s="532">
        <f>SUM(AK104:AK120)</f>
        <v>40111941.525739156</v>
      </c>
      <c r="AL122" s="104" t="s">
        <v>61</v>
      </c>
      <c r="AM122" s="15"/>
      <c r="AN122" s="65">
        <f>SUM(AN104:AN121)</f>
        <v>3170538.4250678336</v>
      </c>
      <c r="AO122" s="89"/>
      <c r="AP122" s="89"/>
      <c r="AQ122" s="527"/>
      <c r="AR122" s="527"/>
      <c r="AS122" s="527"/>
      <c r="AT122" s="527"/>
      <c r="AU122" s="15"/>
      <c r="AV122" s="15"/>
      <c r="AW122" s="15"/>
      <c r="AX122" s="15"/>
      <c r="AY122" s="15"/>
      <c r="AZ122" s="15"/>
      <c r="BA122" s="15"/>
      <c r="BB122" s="15"/>
      <c r="BC122" s="15"/>
      <c r="BD122" s="15"/>
    </row>
    <row r="123" spans="1:56" x14ac:dyDescent="0.25">
      <c r="A123" s="15"/>
      <c r="B123" s="15"/>
      <c r="C123" s="15"/>
      <c r="D123" s="15"/>
      <c r="E123" s="15"/>
      <c r="F123" s="64"/>
      <c r="G123" s="64"/>
      <c r="H123" s="15"/>
      <c r="I123" s="15"/>
      <c r="J123" s="15"/>
      <c r="K123" s="15"/>
      <c r="L123" s="15"/>
      <c r="M123" s="15"/>
      <c r="N123" s="15"/>
      <c r="O123" s="15"/>
      <c r="P123" s="15"/>
      <c r="Q123" s="15"/>
      <c r="R123" s="64"/>
      <c r="S123" s="100"/>
      <c r="T123" s="15"/>
      <c r="U123" s="15"/>
      <c r="V123" s="15"/>
      <c r="W123" s="15"/>
      <c r="X123" s="15"/>
      <c r="Y123" s="15"/>
      <c r="Z123" s="15"/>
      <c r="AA123" s="15"/>
      <c r="AB123" s="15"/>
      <c r="AC123" s="15"/>
      <c r="AD123" s="15"/>
      <c r="AE123" s="15"/>
      <c r="AF123" s="15"/>
      <c r="AG123" s="15"/>
      <c r="AH123" s="15"/>
      <c r="AI123" s="15"/>
      <c r="AJ123" s="15"/>
      <c r="AK123" s="15"/>
      <c r="AL123" s="15"/>
      <c r="AM123" s="15"/>
      <c r="AN123" s="15"/>
      <c r="AO123" s="527"/>
      <c r="AP123" s="527"/>
      <c r="AQ123" s="527"/>
      <c r="AR123" s="527"/>
      <c r="AS123" s="527"/>
      <c r="AT123" s="527"/>
      <c r="AU123" s="15"/>
      <c r="AV123" s="15"/>
      <c r="AW123" s="15"/>
      <c r="AX123" s="64"/>
      <c r="AY123" s="64"/>
      <c r="AZ123" s="15"/>
      <c r="BA123" s="15"/>
      <c r="BB123" s="64"/>
      <c r="BC123" s="64"/>
      <c r="BD123" s="64"/>
    </row>
    <row r="124" spans="1:56" x14ac:dyDescent="0.25">
      <c r="A124" s="15"/>
      <c r="B124" s="15"/>
      <c r="C124" s="15"/>
      <c r="D124" s="131" t="s">
        <v>61</v>
      </c>
      <c r="E124" s="131" t="s">
        <v>61</v>
      </c>
      <c r="F124" s="131" t="s">
        <v>61</v>
      </c>
      <c r="G124" s="131" t="s">
        <v>61</v>
      </c>
      <c r="H124" s="131" t="s">
        <v>61</v>
      </c>
      <c r="I124" s="131" t="s">
        <v>61</v>
      </c>
      <c r="J124" s="131" t="s">
        <v>61</v>
      </c>
      <c r="K124" s="131" t="s">
        <v>61</v>
      </c>
      <c r="L124" s="131" t="s">
        <v>61</v>
      </c>
      <c r="M124" s="131" t="s">
        <v>61</v>
      </c>
      <c r="N124" s="131" t="s">
        <v>61</v>
      </c>
      <c r="O124" s="131" t="s">
        <v>61</v>
      </c>
      <c r="P124" s="131" t="s">
        <v>61</v>
      </c>
      <c r="Q124" s="131" t="s">
        <v>61</v>
      </c>
      <c r="R124" s="131" t="s">
        <v>61</v>
      </c>
      <c r="S124" s="63"/>
      <c r="T124" s="106"/>
      <c r="U124" s="15"/>
      <c r="V124" s="106"/>
      <c r="W124" s="106"/>
      <c r="X124" s="106"/>
      <c r="Y124" s="106"/>
      <c r="Z124" s="106"/>
      <c r="AA124" s="106"/>
      <c r="AB124" s="106"/>
      <c r="AC124" s="106"/>
      <c r="AD124" s="106"/>
      <c r="AE124" s="106"/>
      <c r="AF124" s="106"/>
      <c r="AG124" s="106"/>
      <c r="AH124" s="106"/>
      <c r="AI124" s="106"/>
      <c r="AJ124" s="106"/>
      <c r="AK124" s="106"/>
      <c r="AL124" s="15"/>
      <c r="AM124" s="15"/>
      <c r="AN124" s="15"/>
      <c r="AO124" s="15"/>
      <c r="AP124" s="104"/>
      <c r="AQ124" s="15"/>
      <c r="AR124" s="15"/>
      <c r="AS124" s="15"/>
      <c r="AT124" s="15"/>
      <c r="AU124" s="15"/>
      <c r="AV124" s="15"/>
      <c r="AW124" s="15"/>
      <c r="AX124" s="64"/>
      <c r="AY124" s="64"/>
      <c r="AZ124" s="15"/>
      <c r="BA124" s="15"/>
      <c r="BB124" s="64"/>
      <c r="BC124" s="64"/>
      <c r="BD124" s="64"/>
    </row>
    <row r="126" spans="1:56" x14ac:dyDescent="0.25">
      <c r="A126" s="15"/>
      <c r="B126" s="15"/>
      <c r="C126" s="15"/>
      <c r="D126" s="15"/>
      <c r="E126" s="15"/>
      <c r="F126" s="15"/>
      <c r="G126" s="15"/>
      <c r="H126" s="15"/>
      <c r="I126" s="64"/>
      <c r="J126" s="64"/>
      <c r="K126" s="15"/>
      <c r="L126" s="15"/>
      <c r="M126" s="15"/>
      <c r="N126" s="15"/>
      <c r="O126" s="15"/>
      <c r="P126" s="15"/>
      <c r="Q126" s="15"/>
      <c r="R126" s="64"/>
      <c r="S126" s="100"/>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64"/>
      <c r="AY126" s="64"/>
      <c r="AZ126" s="15"/>
      <c r="BA126" s="15"/>
      <c r="BB126" s="64"/>
      <c r="BC126" s="64"/>
      <c r="BD126" s="64"/>
    </row>
    <row r="127" spans="1:56" x14ac:dyDescent="0.25">
      <c r="B127" s="15"/>
      <c r="C127" s="15"/>
      <c r="D127" s="15"/>
      <c r="E127" s="15"/>
      <c r="F127" s="15"/>
      <c r="G127" s="15"/>
      <c r="H127" s="15"/>
      <c r="I127" s="64"/>
      <c r="J127" s="64"/>
      <c r="K127" s="15"/>
      <c r="L127" s="15"/>
      <c r="M127" s="15"/>
      <c r="N127" s="15"/>
      <c r="O127" s="15"/>
      <c r="P127" s="15"/>
      <c r="Q127" s="15"/>
      <c r="R127" s="64" t="s">
        <v>732</v>
      </c>
      <c r="S127" s="88" t="s">
        <v>733</v>
      </c>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64"/>
      <c r="AY127" s="64"/>
      <c r="AZ127" s="15"/>
      <c r="BA127" s="15"/>
      <c r="BB127" s="64"/>
      <c r="BC127" s="64"/>
      <c r="BD127" s="64"/>
    </row>
    <row r="128" spans="1:56" ht="13" x14ac:dyDescent="0.3">
      <c r="B128" s="15"/>
      <c r="C128" s="15"/>
      <c r="D128" s="15"/>
      <c r="E128" s="15"/>
      <c r="F128" s="15"/>
      <c r="G128" s="15"/>
      <c r="H128" s="15"/>
      <c r="I128" s="64"/>
      <c r="J128" s="64"/>
      <c r="K128" s="15"/>
      <c r="L128" s="15"/>
      <c r="M128" s="15"/>
      <c r="N128" s="15"/>
      <c r="O128" s="67" t="s">
        <v>60</v>
      </c>
      <c r="P128" s="15"/>
      <c r="Q128" s="15"/>
      <c r="R128" s="600">
        <v>1450702.9222110419</v>
      </c>
      <c r="S128" s="601">
        <v>1635422.2145255746</v>
      </c>
      <c r="T128" s="602">
        <f>R128-S128</f>
        <v>-184719.29231453268</v>
      </c>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64"/>
      <c r="AY128" s="64"/>
      <c r="AZ128" s="15"/>
      <c r="BA128" s="15"/>
      <c r="BB128" s="64"/>
      <c r="BC128" s="64"/>
      <c r="BD128" s="64"/>
    </row>
    <row r="129" spans="2:56" ht="13" x14ac:dyDescent="0.3">
      <c r="B129" s="15"/>
      <c r="C129" s="15"/>
      <c r="D129" s="15"/>
      <c r="E129" s="15"/>
      <c r="F129" s="15"/>
      <c r="G129" s="15"/>
      <c r="H129" s="15"/>
      <c r="I129" s="64"/>
      <c r="J129" s="64"/>
      <c r="K129" s="15"/>
      <c r="L129" s="15"/>
      <c r="M129" s="15"/>
      <c r="N129" s="15"/>
      <c r="O129" s="67" t="s">
        <v>63</v>
      </c>
      <c r="P129" s="15"/>
      <c r="Q129" s="15"/>
      <c r="R129" s="600">
        <v>1111087.4538852279</v>
      </c>
      <c r="S129" s="601">
        <v>1110307.5958656566</v>
      </c>
      <c r="T129" s="602">
        <f t="shared" ref="T129:T145" si="48">R129-S129</f>
        <v>779.85801957128569</v>
      </c>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64"/>
      <c r="AY129" s="64"/>
      <c r="AZ129" s="15"/>
      <c r="BA129" s="15"/>
      <c r="BB129" s="64"/>
      <c r="BC129" s="64"/>
      <c r="BD129" s="64"/>
    </row>
    <row r="130" spans="2:56" ht="13" x14ac:dyDescent="0.3">
      <c r="B130" s="15"/>
      <c r="C130" s="15"/>
      <c r="D130" s="15"/>
      <c r="E130" s="15"/>
      <c r="F130" s="15"/>
      <c r="G130" s="15"/>
      <c r="H130" s="15"/>
      <c r="I130" s="64"/>
      <c r="J130" s="64"/>
      <c r="K130" s="15"/>
      <c r="L130" s="15"/>
      <c r="M130" s="15"/>
      <c r="N130" s="15"/>
      <c r="O130" s="67" t="s">
        <v>64</v>
      </c>
      <c r="P130" s="15"/>
      <c r="Q130" s="15"/>
      <c r="R130" s="600">
        <v>938087.7152146895</v>
      </c>
      <c r="S130" s="601">
        <v>968642.14997835143</v>
      </c>
      <c r="T130" s="602">
        <f t="shared" si="48"/>
        <v>-30554.434763661935</v>
      </c>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64"/>
      <c r="AY130" s="64"/>
      <c r="AZ130" s="15"/>
      <c r="BA130" s="15"/>
      <c r="BB130" s="64"/>
      <c r="BC130" s="64"/>
      <c r="BD130" s="64"/>
    </row>
    <row r="131" spans="2:56" ht="13" x14ac:dyDescent="0.3">
      <c r="B131" s="15" t="s">
        <v>60</v>
      </c>
      <c r="C131" s="15"/>
      <c r="D131" s="607">
        <v>6.1224489795918366E-2</v>
      </c>
      <c r="E131" s="607">
        <v>0.42857142857142855</v>
      </c>
      <c r="F131" s="607">
        <v>7.1428571428571425E-2</v>
      </c>
      <c r="G131" s="607">
        <v>0.1326530612244898</v>
      </c>
      <c r="H131" s="607">
        <v>8.1632653061224483E-2</v>
      </c>
      <c r="I131" s="87">
        <v>0.11224489795918367</v>
      </c>
      <c r="J131" s="87">
        <v>0.11224489795918367</v>
      </c>
      <c r="K131" s="15"/>
      <c r="L131" s="15"/>
      <c r="M131" s="15"/>
      <c r="N131" s="15"/>
      <c r="O131" s="67" t="s">
        <v>65</v>
      </c>
      <c r="P131" s="15"/>
      <c r="Q131" s="15"/>
      <c r="R131" s="600">
        <v>803973.59114669659</v>
      </c>
      <c r="S131" s="601">
        <v>809291.27659107023</v>
      </c>
      <c r="T131" s="602">
        <f t="shared" si="48"/>
        <v>-5317.6854443736374</v>
      </c>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64"/>
      <c r="AY131" s="64"/>
      <c r="AZ131" s="15"/>
      <c r="BA131" s="15"/>
      <c r="BB131" s="64"/>
      <c r="BC131" s="64"/>
      <c r="BD131" s="64"/>
    </row>
    <row r="132" spans="2:56" ht="13" x14ac:dyDescent="0.3">
      <c r="B132" s="15" t="s">
        <v>63</v>
      </c>
      <c r="C132" s="15"/>
      <c r="D132" s="607">
        <v>5.8139534883720929E-2</v>
      </c>
      <c r="E132" s="607">
        <v>0.38372093023255816</v>
      </c>
      <c r="F132" s="607">
        <v>9.3023255813953487E-2</v>
      </c>
      <c r="G132" s="607">
        <v>0.13953488372093023</v>
      </c>
      <c r="H132" s="607">
        <v>0.11627906976744186</v>
      </c>
      <c r="I132" s="87">
        <v>0.15116279069767441</v>
      </c>
      <c r="J132" s="87">
        <v>5.8139534883720929E-2</v>
      </c>
      <c r="K132" s="15"/>
      <c r="L132" s="15"/>
      <c r="M132" s="15"/>
      <c r="N132" s="15"/>
      <c r="O132" s="67" t="s">
        <v>66</v>
      </c>
      <c r="P132" s="15"/>
      <c r="Q132" s="15"/>
      <c r="R132" s="600">
        <v>981968.02846039541</v>
      </c>
      <c r="S132" s="601">
        <v>1043499.875183222</v>
      </c>
      <c r="T132" s="602">
        <f t="shared" si="48"/>
        <v>-61531.846722826594</v>
      </c>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64"/>
      <c r="AY132" s="64"/>
      <c r="AZ132" s="15"/>
      <c r="BA132" s="15"/>
      <c r="BB132" s="64"/>
      <c r="BC132" s="64"/>
      <c r="BD132" s="64"/>
    </row>
    <row r="133" spans="2:56" ht="13" x14ac:dyDescent="0.3">
      <c r="B133" s="15" t="s">
        <v>64</v>
      </c>
      <c r="C133" s="15"/>
      <c r="D133" s="607">
        <v>0.13924050632911392</v>
      </c>
      <c r="E133" s="607">
        <v>0.46835443037974683</v>
      </c>
      <c r="F133" s="607">
        <v>3.7974683544303799E-2</v>
      </c>
      <c r="G133" s="607">
        <v>0.11392405063291139</v>
      </c>
      <c r="H133" s="607">
        <v>3.7974683544303799E-2</v>
      </c>
      <c r="I133" s="87">
        <v>0.15189873417721519</v>
      </c>
      <c r="J133" s="87">
        <v>5.0632911392405063E-2</v>
      </c>
      <c r="K133" s="15"/>
      <c r="L133" s="15"/>
      <c r="M133" s="15"/>
      <c r="N133" s="15"/>
      <c r="O133" s="67" t="s">
        <v>84</v>
      </c>
      <c r="P133" s="15"/>
      <c r="Q133" s="15"/>
      <c r="R133" s="600">
        <v>1215325.5284515372</v>
      </c>
      <c r="S133" s="601">
        <v>1215325.5284515372</v>
      </c>
      <c r="T133" s="602">
        <f t="shared" si="48"/>
        <v>0</v>
      </c>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64"/>
      <c r="AY133" s="64"/>
      <c r="AZ133" s="15"/>
      <c r="BA133" s="15"/>
      <c r="BB133" s="64"/>
      <c r="BC133" s="64"/>
      <c r="BD133" s="64"/>
    </row>
    <row r="134" spans="2:56" ht="13" x14ac:dyDescent="0.3">
      <c r="B134" s="15" t="s">
        <v>66</v>
      </c>
      <c r="C134" s="15"/>
      <c r="D134" s="607">
        <v>7.1428571428571425E-2</v>
      </c>
      <c r="E134" s="607">
        <v>0.51190476190476186</v>
      </c>
      <c r="F134" s="607">
        <v>2.3809523809523808E-2</v>
      </c>
      <c r="G134" s="607">
        <v>0.17857142857142858</v>
      </c>
      <c r="H134" s="607">
        <v>8.3333333333333329E-2</v>
      </c>
      <c r="I134" s="87">
        <v>7.1428571428571425E-2</v>
      </c>
      <c r="J134" s="87">
        <v>5.9523809523809521E-2</v>
      </c>
      <c r="K134" s="15"/>
      <c r="L134" s="15"/>
      <c r="M134" s="15"/>
      <c r="N134" s="15"/>
      <c r="O134" s="67" t="s">
        <v>74</v>
      </c>
      <c r="P134" s="15"/>
      <c r="Q134" s="15"/>
      <c r="R134" s="600">
        <v>997252.27983884769</v>
      </c>
      <c r="S134" s="601">
        <v>1037445.9249206006</v>
      </c>
      <c r="T134" s="602">
        <f t="shared" si="48"/>
        <v>-40193.645081752911</v>
      </c>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64"/>
      <c r="AY134" s="64"/>
      <c r="AZ134" s="15"/>
      <c r="BA134" s="15"/>
      <c r="BB134" s="64"/>
      <c r="BC134" s="64"/>
      <c r="BD134" s="64"/>
    </row>
    <row r="135" spans="2:56" ht="13" x14ac:dyDescent="0.3">
      <c r="B135" s="15" t="s">
        <v>84</v>
      </c>
      <c r="C135" s="15"/>
      <c r="D135" s="607">
        <v>0</v>
      </c>
      <c r="E135" s="607">
        <v>0</v>
      </c>
      <c r="F135" s="607">
        <v>1</v>
      </c>
      <c r="G135" s="607">
        <v>0</v>
      </c>
      <c r="H135" s="607">
        <v>0</v>
      </c>
      <c r="I135" s="87">
        <v>0</v>
      </c>
      <c r="J135" s="87">
        <v>0</v>
      </c>
      <c r="K135" s="15"/>
      <c r="L135" s="15"/>
      <c r="M135" s="15"/>
      <c r="N135" s="15"/>
      <c r="O135" s="67" t="s">
        <v>67</v>
      </c>
      <c r="P135" s="15"/>
      <c r="Q135" s="15"/>
      <c r="R135" s="600">
        <v>956233.34251339128</v>
      </c>
      <c r="S135" s="601">
        <v>1017880.0443109286</v>
      </c>
      <c r="T135" s="602">
        <f t="shared" si="48"/>
        <v>-61646.701797537273</v>
      </c>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64"/>
      <c r="AY135" s="64"/>
      <c r="AZ135" s="15"/>
      <c r="BA135" s="15"/>
      <c r="BB135" s="64"/>
      <c r="BC135" s="64"/>
      <c r="BD135" s="64"/>
    </row>
    <row r="136" spans="2:56" ht="13" x14ac:dyDescent="0.3">
      <c r="B136" s="15" t="s">
        <v>74</v>
      </c>
      <c r="C136" s="15"/>
      <c r="D136" s="607">
        <v>0.1388888888888889</v>
      </c>
      <c r="E136" s="607">
        <v>0.62962962962962965</v>
      </c>
      <c r="F136" s="607">
        <v>4.6296296296296294E-2</v>
      </c>
      <c r="G136" s="607">
        <v>0.10185185185185185</v>
      </c>
      <c r="H136" s="607">
        <v>3.7037037037037035E-2</v>
      </c>
      <c r="I136" s="87">
        <v>3.7037037037037035E-2</v>
      </c>
      <c r="J136" s="87">
        <v>9.2592592592592587E-3</v>
      </c>
      <c r="K136" s="15"/>
      <c r="L136" s="15"/>
      <c r="M136" s="15"/>
      <c r="N136" s="15"/>
      <c r="O136" s="67" t="s">
        <v>75</v>
      </c>
      <c r="P136" s="15"/>
      <c r="Q136" s="15"/>
      <c r="R136" s="600">
        <v>1102419.9694233148</v>
      </c>
      <c r="S136" s="601">
        <v>1153797.2462213296</v>
      </c>
      <c r="T136" s="602">
        <f t="shared" si="48"/>
        <v>-51377.276798014762</v>
      </c>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64"/>
      <c r="AY136" s="64"/>
      <c r="AZ136" s="15"/>
      <c r="BA136" s="15"/>
      <c r="BB136" s="64"/>
      <c r="BC136" s="64"/>
      <c r="BD136" s="64"/>
    </row>
    <row r="137" spans="2:56" ht="13" x14ac:dyDescent="0.3">
      <c r="B137" s="15" t="s">
        <v>67</v>
      </c>
      <c r="C137" s="15"/>
      <c r="D137" s="607">
        <v>0.11</v>
      </c>
      <c r="E137" s="607">
        <v>0.64</v>
      </c>
      <c r="F137" s="607">
        <v>7.0000000000000007E-2</v>
      </c>
      <c r="G137" s="607">
        <v>0.09</v>
      </c>
      <c r="H137" s="607">
        <v>0</v>
      </c>
      <c r="I137" s="87">
        <v>0.09</v>
      </c>
      <c r="J137" s="87">
        <v>0</v>
      </c>
      <c r="K137" s="15"/>
      <c r="L137" s="15"/>
      <c r="M137" s="15"/>
      <c r="N137" s="15"/>
      <c r="O137" s="67" t="s">
        <v>68</v>
      </c>
      <c r="P137" s="15"/>
      <c r="Q137" s="15"/>
      <c r="R137" s="600">
        <v>1484746.1499078074</v>
      </c>
      <c r="S137" s="601">
        <v>1458580.2296437109</v>
      </c>
      <c r="T137" s="602">
        <f t="shared" si="48"/>
        <v>26165.920264096465</v>
      </c>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64"/>
      <c r="AY137" s="64"/>
      <c r="AZ137" s="15"/>
      <c r="BA137" s="15"/>
      <c r="BB137" s="64"/>
      <c r="BC137" s="64"/>
      <c r="BD137" s="64"/>
    </row>
    <row r="138" spans="2:56" ht="13" x14ac:dyDescent="0.3">
      <c r="B138" s="15" t="s">
        <v>75</v>
      </c>
      <c r="C138" s="15"/>
      <c r="D138" s="607">
        <v>0.44444444444444442</v>
      </c>
      <c r="E138" s="607">
        <v>0.32407407407407407</v>
      </c>
      <c r="F138" s="607">
        <v>9.2592592592592587E-2</v>
      </c>
      <c r="G138" s="607">
        <v>4.6296296296296294E-2</v>
      </c>
      <c r="H138" s="607">
        <v>2.7777777777777776E-2</v>
      </c>
      <c r="I138" s="87">
        <v>5.5555555555555552E-2</v>
      </c>
      <c r="J138" s="87">
        <v>9.2592592592592587E-3</v>
      </c>
      <c r="K138" s="15"/>
      <c r="L138" s="15"/>
      <c r="M138" s="15"/>
      <c r="N138" s="15"/>
      <c r="O138" s="67" t="s">
        <v>69</v>
      </c>
      <c r="P138" s="15"/>
      <c r="Q138" s="15"/>
      <c r="R138" s="600">
        <v>1234626.8435036717</v>
      </c>
      <c r="S138" s="601">
        <v>1230417.7710770133</v>
      </c>
      <c r="T138" s="602">
        <f t="shared" si="48"/>
        <v>4209.0724266583566</v>
      </c>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64"/>
      <c r="AY138" s="64"/>
      <c r="AZ138" s="15"/>
      <c r="BA138" s="15"/>
      <c r="BB138" s="64"/>
      <c r="BC138" s="64"/>
      <c r="BD138" s="64"/>
    </row>
    <row r="139" spans="2:56" ht="13" x14ac:dyDescent="0.3">
      <c r="B139" s="15" t="s">
        <v>68</v>
      </c>
      <c r="C139" s="15"/>
      <c r="D139" s="607">
        <v>0.33557046979865773</v>
      </c>
      <c r="E139" s="607">
        <v>0.38926174496644295</v>
      </c>
      <c r="F139" s="607">
        <v>0.13422818791946309</v>
      </c>
      <c r="G139" s="607">
        <v>3.3557046979865772E-2</v>
      </c>
      <c r="H139" s="607">
        <v>2.0134228187919462E-2</v>
      </c>
      <c r="I139" s="87">
        <v>7.3825503355704702E-2</v>
      </c>
      <c r="J139" s="87">
        <v>1.3422818791946308E-2</v>
      </c>
      <c r="K139" s="15"/>
      <c r="L139" s="15"/>
      <c r="M139" s="15"/>
      <c r="N139" s="15"/>
      <c r="O139" s="67" t="s">
        <v>278</v>
      </c>
      <c r="P139" s="15"/>
      <c r="Q139" s="15"/>
      <c r="R139" s="600">
        <v>1187618.6252122277</v>
      </c>
      <c r="S139" s="601">
        <v>1187618.6252122277</v>
      </c>
      <c r="T139" s="602">
        <f t="shared" si="48"/>
        <v>0</v>
      </c>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64"/>
      <c r="AY139" s="64"/>
      <c r="AZ139" s="15"/>
      <c r="BA139" s="15"/>
      <c r="BB139" s="64"/>
      <c r="BC139" s="64"/>
      <c r="BD139" s="64"/>
    </row>
    <row r="140" spans="2:56" ht="13" x14ac:dyDescent="0.3">
      <c r="B140" s="15" t="s">
        <v>69</v>
      </c>
      <c r="C140" s="15"/>
      <c r="D140" s="607">
        <v>0.16666666666666666</v>
      </c>
      <c r="E140" s="607">
        <v>0.532258064516129</v>
      </c>
      <c r="F140" s="607">
        <v>5.9139784946236562E-2</v>
      </c>
      <c r="G140" s="607">
        <v>7.5268817204301078E-2</v>
      </c>
      <c r="H140" s="607">
        <v>3.7634408602150539E-2</v>
      </c>
      <c r="I140" s="87">
        <v>8.0645161290322578E-2</v>
      </c>
      <c r="J140" s="87">
        <v>4.8387096774193547E-2</v>
      </c>
      <c r="K140" s="15"/>
      <c r="L140" s="15"/>
      <c r="M140" s="15"/>
      <c r="N140" s="15"/>
      <c r="O140" s="67" t="s">
        <v>380</v>
      </c>
      <c r="P140" s="15"/>
      <c r="Q140" s="15"/>
      <c r="R140" s="600">
        <v>1571737.0564844753</v>
      </c>
      <c r="S140" s="601">
        <v>1571737.0564844753</v>
      </c>
      <c r="T140" s="602">
        <f t="shared" si="48"/>
        <v>0</v>
      </c>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64"/>
      <c r="AY140" s="64"/>
      <c r="AZ140" s="15"/>
      <c r="BA140" s="15"/>
      <c r="BB140" s="64"/>
      <c r="BC140" s="64"/>
      <c r="BD140" s="64"/>
    </row>
    <row r="141" spans="2:56" ht="13" x14ac:dyDescent="0.3">
      <c r="B141" s="15" t="s">
        <v>278</v>
      </c>
      <c r="C141" s="15"/>
      <c r="D141" s="607">
        <v>0</v>
      </c>
      <c r="E141" s="607">
        <v>0</v>
      </c>
      <c r="F141" s="607">
        <v>1</v>
      </c>
      <c r="G141" s="607">
        <v>0</v>
      </c>
      <c r="H141" s="607">
        <v>0</v>
      </c>
      <c r="I141" s="87">
        <v>0</v>
      </c>
      <c r="J141" s="87">
        <v>0</v>
      </c>
      <c r="K141" s="15"/>
      <c r="L141" s="15"/>
      <c r="M141" s="15"/>
      <c r="N141" s="15"/>
      <c r="O141" s="67" t="s">
        <v>383</v>
      </c>
      <c r="P141" s="15"/>
      <c r="Q141" s="15"/>
      <c r="R141" s="600">
        <v>1070493.9887915095</v>
      </c>
      <c r="S141" s="601">
        <v>1070493.9887915095</v>
      </c>
      <c r="T141" s="602">
        <f t="shared" si="48"/>
        <v>0</v>
      </c>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64"/>
      <c r="AY141" s="64"/>
      <c r="AZ141" s="15"/>
      <c r="BA141" s="15"/>
      <c r="BB141" s="64"/>
      <c r="BC141" s="64"/>
      <c r="BD141" s="64"/>
    </row>
    <row r="142" spans="2:56" ht="13" x14ac:dyDescent="0.3">
      <c r="B142" s="15" t="s">
        <v>380</v>
      </c>
      <c r="C142" s="15"/>
      <c r="D142" s="607">
        <v>0</v>
      </c>
      <c r="E142" s="607">
        <v>0</v>
      </c>
      <c r="F142" s="607">
        <v>1</v>
      </c>
      <c r="G142" s="607">
        <v>0</v>
      </c>
      <c r="H142" s="607">
        <v>0</v>
      </c>
      <c r="I142" s="87">
        <v>0</v>
      </c>
      <c r="J142" s="87">
        <v>0</v>
      </c>
      <c r="K142" s="15"/>
      <c r="L142" s="15"/>
      <c r="M142" s="15"/>
      <c r="N142" s="15"/>
      <c r="O142" s="67" t="s">
        <v>70</v>
      </c>
      <c r="P142" s="15"/>
      <c r="Q142" s="15"/>
      <c r="R142" s="600">
        <v>1590171.732654036</v>
      </c>
      <c r="S142" s="601">
        <v>1618611.5745486002</v>
      </c>
      <c r="T142" s="602">
        <f t="shared" si="48"/>
        <v>-28439.841894564219</v>
      </c>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64"/>
      <c r="AY142" s="64"/>
      <c r="AZ142" s="15"/>
      <c r="BA142" s="15"/>
      <c r="BB142" s="64"/>
      <c r="BC142" s="64"/>
      <c r="BD142" s="64"/>
    </row>
    <row r="143" spans="2:56" ht="13" x14ac:dyDescent="0.3">
      <c r="B143" s="15" t="s">
        <v>383</v>
      </c>
      <c r="C143" s="15"/>
      <c r="D143" s="607">
        <v>0</v>
      </c>
      <c r="E143" s="607">
        <v>0</v>
      </c>
      <c r="F143" s="607">
        <v>1</v>
      </c>
      <c r="G143" s="607">
        <v>0</v>
      </c>
      <c r="H143" s="607">
        <v>0</v>
      </c>
      <c r="I143" s="87">
        <v>0</v>
      </c>
      <c r="J143" s="87">
        <v>0</v>
      </c>
      <c r="K143" s="15"/>
      <c r="L143" s="15"/>
      <c r="M143" s="15"/>
      <c r="N143" s="15"/>
      <c r="O143" s="67" t="s">
        <v>71</v>
      </c>
      <c r="P143" s="15"/>
      <c r="Q143" s="15"/>
      <c r="R143" s="600">
        <v>1676380.6480545243</v>
      </c>
      <c r="S143" s="601">
        <v>1721195.0373406732</v>
      </c>
      <c r="T143" s="602">
        <f t="shared" si="48"/>
        <v>-44814.389286148828</v>
      </c>
    </row>
    <row r="144" spans="2:56" ht="13" x14ac:dyDescent="0.3">
      <c r="B144" s="15" t="s">
        <v>70</v>
      </c>
      <c r="C144" s="15"/>
      <c r="D144" s="607">
        <v>9.2436974789915971E-2</v>
      </c>
      <c r="E144" s="607">
        <v>0.44537815126050423</v>
      </c>
      <c r="F144" s="607">
        <v>7.5630252100840331E-2</v>
      </c>
      <c r="G144" s="607">
        <v>9.2436974789915971E-2</v>
      </c>
      <c r="H144" s="607">
        <v>9.2436974789915971E-2</v>
      </c>
      <c r="I144" s="87">
        <v>7.5630252100840331E-2</v>
      </c>
      <c r="J144" s="87">
        <v>0.12605042016806722</v>
      </c>
      <c r="K144" s="15"/>
      <c r="L144" s="15"/>
      <c r="M144" s="15"/>
      <c r="N144" s="15"/>
      <c r="O144" s="67" t="s">
        <v>72</v>
      </c>
      <c r="P144" s="15"/>
      <c r="Q144" s="15"/>
      <c r="R144" s="600">
        <v>2226865.9728884418</v>
      </c>
      <c r="S144" s="601">
        <v>2200327.8220654116</v>
      </c>
      <c r="T144" s="602">
        <f t="shared" si="48"/>
        <v>26538.150823030155</v>
      </c>
    </row>
    <row r="145" spans="2:20" ht="13" x14ac:dyDescent="0.3">
      <c r="B145" s="15" t="s">
        <v>71</v>
      </c>
      <c r="C145" s="15"/>
      <c r="D145" s="607">
        <v>0.25146198830409355</v>
      </c>
      <c r="E145" s="607">
        <v>0.47368421052631576</v>
      </c>
      <c r="F145" s="607">
        <v>9.3567251461988299E-2</v>
      </c>
      <c r="G145" s="607">
        <v>7.6023391812865493E-2</v>
      </c>
      <c r="H145" s="607">
        <v>3.5087719298245612E-2</v>
      </c>
      <c r="I145" s="87">
        <v>5.8479532163742687E-2</v>
      </c>
      <c r="J145" s="87">
        <v>1.1695906432748537E-2</v>
      </c>
      <c r="K145" s="15"/>
      <c r="L145" s="15"/>
      <c r="M145" s="15"/>
      <c r="N145" s="15"/>
      <c r="O145" s="67" t="s">
        <v>73</v>
      </c>
      <c r="P145" s="15"/>
      <c r="Q145" s="15"/>
      <c r="R145" s="600">
        <v>2366444.7040477116</v>
      </c>
      <c r="S145" s="601">
        <v>2365878.4006585167</v>
      </c>
      <c r="T145" s="602">
        <f t="shared" si="48"/>
        <v>566.30338919488713</v>
      </c>
    </row>
    <row r="146" spans="2:20" x14ac:dyDescent="0.25">
      <c r="B146" s="15" t="s">
        <v>72</v>
      </c>
      <c r="C146" s="15"/>
      <c r="D146" s="607">
        <v>0.31555555555555553</v>
      </c>
      <c r="E146" s="607">
        <v>0.38666666666666666</v>
      </c>
      <c r="F146" s="607">
        <v>1.7777777777777778E-2</v>
      </c>
      <c r="G146" s="607">
        <v>9.3333333333333338E-2</v>
      </c>
      <c r="H146" s="607">
        <v>1.7777777777777778E-2</v>
      </c>
      <c r="I146" s="87">
        <v>0.16</v>
      </c>
      <c r="J146" s="87">
        <v>8.8888888888888889E-3</v>
      </c>
      <c r="K146" s="15"/>
      <c r="L146" s="15"/>
      <c r="M146" s="15"/>
      <c r="N146" s="15"/>
      <c r="O146" s="15"/>
      <c r="P146" s="15"/>
      <c r="Q146" s="15"/>
      <c r="R146" s="64"/>
      <c r="S146" s="100"/>
      <c r="T146" s="15"/>
    </row>
    <row r="147" spans="2:20" x14ac:dyDescent="0.25">
      <c r="B147" s="15" t="s">
        <v>73</v>
      </c>
      <c r="C147" s="15"/>
      <c r="D147" s="607">
        <v>0.15337423312883436</v>
      </c>
      <c r="E147" s="607">
        <v>0.19018404907975461</v>
      </c>
      <c r="F147" s="607">
        <v>1.2269938650306749E-2</v>
      </c>
      <c r="G147" s="607">
        <v>0.22699386503067484</v>
      </c>
      <c r="H147" s="607">
        <v>0.18404907975460122</v>
      </c>
      <c r="I147" s="87">
        <v>1.8404907975460124E-2</v>
      </c>
      <c r="J147" s="87">
        <v>0.21472392638036811</v>
      </c>
      <c r="K147" s="15"/>
      <c r="L147" s="15"/>
      <c r="M147" s="15"/>
      <c r="N147" s="15"/>
      <c r="O147" s="15"/>
      <c r="P147" s="15"/>
      <c r="Q147" s="15"/>
      <c r="R147" s="64"/>
      <c r="S147" s="100"/>
      <c r="T147" s="65">
        <f>SUM(T128:T146)</f>
        <v>-450335.80918086169</v>
      </c>
    </row>
    <row r="151" spans="2:20" x14ac:dyDescent="0.25">
      <c r="B151" s="15" t="s">
        <v>60</v>
      </c>
      <c r="C151" s="15"/>
      <c r="D151" s="607">
        <f t="shared" ref="D151:J160" si="49">D69-D131</f>
        <v>2.7816606094492588E-2</v>
      </c>
      <c r="E151" s="654">
        <f t="shared" si="49"/>
        <v>-3.131115459882583E-2</v>
      </c>
      <c r="F151" s="654">
        <f t="shared" si="49"/>
        <v>-2.3483365949119372E-2</v>
      </c>
      <c r="G151" s="654">
        <f t="shared" si="49"/>
        <v>7.9675705898797855E-2</v>
      </c>
      <c r="H151" s="654">
        <f t="shared" si="49"/>
        <v>-2.6838132513279281E-2</v>
      </c>
      <c r="I151" s="654">
        <f t="shared" si="49"/>
        <v>-1.6354487000279569E-2</v>
      </c>
      <c r="J151" s="654">
        <f t="shared" si="49"/>
        <v>-9.5051719317864186E-3</v>
      </c>
      <c r="K151" s="15"/>
      <c r="L151" s="15"/>
      <c r="M151" s="15"/>
      <c r="N151" s="15"/>
      <c r="O151" s="15"/>
      <c r="P151" s="15"/>
      <c r="Q151" s="15"/>
      <c r="R151" s="64"/>
      <c r="S151" s="100"/>
      <c r="T151" s="15"/>
    </row>
    <row r="152" spans="2:20" x14ac:dyDescent="0.25">
      <c r="B152" s="15" t="s">
        <v>63</v>
      </c>
      <c r="C152" s="15"/>
      <c r="D152" s="654">
        <f t="shared" si="49"/>
        <v>-1.8015067147068436E-3</v>
      </c>
      <c r="E152" s="654">
        <f t="shared" si="49"/>
        <v>-0.20062233868326237</v>
      </c>
      <c r="F152" s="654">
        <f t="shared" si="49"/>
        <v>1.9652800524074684E-2</v>
      </c>
      <c r="G152" s="654">
        <f t="shared" si="49"/>
        <v>4.356370782836555E-2</v>
      </c>
      <c r="H152" s="654">
        <f t="shared" si="49"/>
        <v>1.0481493612839829E-2</v>
      </c>
      <c r="I152" s="654">
        <f t="shared" si="49"/>
        <v>6.0104814936128403E-2</v>
      </c>
      <c r="J152" s="654">
        <f t="shared" si="49"/>
        <v>6.8621028496560765E-2</v>
      </c>
      <c r="K152" s="15"/>
      <c r="L152" s="15"/>
      <c r="M152" s="15"/>
      <c r="N152" s="15"/>
      <c r="O152" s="15"/>
      <c r="P152" s="15"/>
      <c r="Q152" s="15"/>
      <c r="R152" s="64"/>
      <c r="S152" s="100"/>
      <c r="T152" s="15"/>
    </row>
    <row r="153" spans="2:20" x14ac:dyDescent="0.25">
      <c r="B153" s="15" t="s">
        <v>64</v>
      </c>
      <c r="C153" s="15"/>
      <c r="D153" s="654">
        <f t="shared" si="49"/>
        <v>-5.5907172995780588E-2</v>
      </c>
      <c r="E153" s="654">
        <f t="shared" si="49"/>
        <v>0.17747890295358654</v>
      </c>
      <c r="F153" s="654">
        <f t="shared" si="49"/>
        <v>3.6919831223628657E-3</v>
      </c>
      <c r="G153" s="654">
        <f t="shared" si="49"/>
        <v>1.1075949367088611E-2</v>
      </c>
      <c r="H153" s="654">
        <f t="shared" si="49"/>
        <v>-3.7974683544303799E-2</v>
      </c>
      <c r="I153" s="654">
        <f t="shared" si="49"/>
        <v>-7.8982067510548523E-2</v>
      </c>
      <c r="J153" s="654">
        <f t="shared" si="49"/>
        <v>-1.9382911392405063E-2</v>
      </c>
      <c r="K153" s="15"/>
      <c r="L153" s="15"/>
      <c r="M153" s="15"/>
      <c r="N153" s="15"/>
      <c r="O153" s="15"/>
      <c r="P153" s="15"/>
      <c r="Q153" s="15"/>
      <c r="R153" s="64"/>
      <c r="S153" s="100"/>
      <c r="T153" s="15"/>
    </row>
    <row r="154" spans="2:20" x14ac:dyDescent="0.25">
      <c r="B154" s="15" t="s">
        <v>66</v>
      </c>
      <c r="C154" s="15"/>
      <c r="D154" s="654">
        <f t="shared" si="49"/>
        <v>3.3834586466165412E-2</v>
      </c>
      <c r="E154" s="654">
        <f t="shared" si="49"/>
        <v>5.6516290726817076E-2</v>
      </c>
      <c r="F154" s="654">
        <f t="shared" si="49"/>
        <v>-2.7568922305764403E-3</v>
      </c>
      <c r="G154" s="654">
        <f t="shared" si="49"/>
        <v>-3.120300751879701E-2</v>
      </c>
      <c r="H154" s="654">
        <f t="shared" si="49"/>
        <v>-2.0175438596491221E-2</v>
      </c>
      <c r="I154" s="654">
        <f t="shared" si="49"/>
        <v>-2.9323308270676689E-2</v>
      </c>
      <c r="J154" s="654">
        <f t="shared" si="49"/>
        <v>-6.8922305764411024E-3</v>
      </c>
      <c r="K154" s="15"/>
      <c r="L154" s="15"/>
      <c r="M154" s="15"/>
      <c r="N154" s="15"/>
      <c r="O154" s="15"/>
      <c r="P154" s="15"/>
      <c r="Q154" s="15"/>
      <c r="R154" s="64"/>
      <c r="S154" s="100"/>
      <c r="T154" s="15"/>
    </row>
    <row r="155" spans="2:20" x14ac:dyDescent="0.25">
      <c r="B155" s="15" t="s">
        <v>84</v>
      </c>
      <c r="C155" s="15"/>
      <c r="D155" s="654">
        <f t="shared" si="49"/>
        <v>0</v>
      </c>
      <c r="E155" s="654">
        <f t="shared" si="49"/>
        <v>0</v>
      </c>
      <c r="F155" s="654">
        <f t="shared" si="49"/>
        <v>0</v>
      </c>
      <c r="G155" s="654">
        <f t="shared" si="49"/>
        <v>0</v>
      </c>
      <c r="H155" s="654">
        <f t="shared" si="49"/>
        <v>0</v>
      </c>
      <c r="I155" s="654">
        <f t="shared" si="49"/>
        <v>0</v>
      </c>
      <c r="J155" s="654">
        <f t="shared" si="49"/>
        <v>0</v>
      </c>
      <c r="K155" s="15"/>
      <c r="L155" s="15"/>
      <c r="M155" s="15"/>
      <c r="N155" s="15"/>
      <c r="O155" s="15"/>
      <c r="P155" s="15"/>
      <c r="Q155" s="15"/>
      <c r="R155" s="64"/>
      <c r="S155" s="100"/>
      <c r="T155" s="15"/>
    </row>
    <row r="156" spans="2:20" x14ac:dyDescent="0.25">
      <c r="B156" s="15" t="s">
        <v>74</v>
      </c>
      <c r="C156" s="15"/>
      <c r="D156" s="654">
        <f t="shared" si="49"/>
        <v>-1.4995083579154384E-2</v>
      </c>
      <c r="E156" s="654">
        <f t="shared" si="49"/>
        <v>5.1786299573910122E-2</v>
      </c>
      <c r="F156" s="654">
        <f t="shared" si="49"/>
        <v>-2.8597181252048506E-2</v>
      </c>
      <c r="G156" s="654">
        <f t="shared" si="49"/>
        <v>4.342838413634878E-3</v>
      </c>
      <c r="H156" s="654">
        <f t="shared" si="49"/>
        <v>-1.6388069485414603E-3</v>
      </c>
      <c r="I156" s="654">
        <f t="shared" si="49"/>
        <v>-2.8187479514913141E-2</v>
      </c>
      <c r="J156" s="654">
        <f t="shared" si="49"/>
        <v>1.7289413307112422E-2</v>
      </c>
      <c r="K156" s="15"/>
      <c r="L156" s="15"/>
      <c r="M156" s="15"/>
      <c r="N156" s="15"/>
      <c r="O156" s="15"/>
      <c r="P156" s="15"/>
      <c r="Q156" s="15"/>
      <c r="R156" s="64"/>
      <c r="S156" s="100"/>
      <c r="T156" s="15"/>
    </row>
    <row r="157" spans="2:20" x14ac:dyDescent="0.25">
      <c r="B157" s="15" t="s">
        <v>67</v>
      </c>
      <c r="C157" s="15"/>
      <c r="D157" s="654">
        <f t="shared" si="49"/>
        <v>-2.0891089108910896E-2</v>
      </c>
      <c r="E157" s="654">
        <f t="shared" si="49"/>
        <v>3.5643564356435675E-3</v>
      </c>
      <c r="F157" s="654">
        <f t="shared" si="49"/>
        <v>-2.0495049504950499E-2</v>
      </c>
      <c r="G157" s="654">
        <f t="shared" si="49"/>
        <v>4.8613861386138629E-2</v>
      </c>
      <c r="H157" s="654">
        <f t="shared" si="49"/>
        <v>0</v>
      </c>
      <c r="I157" s="654">
        <f t="shared" si="49"/>
        <v>-1.0792079207920788E-2</v>
      </c>
      <c r="J157" s="654">
        <f t="shared" si="49"/>
        <v>0</v>
      </c>
      <c r="K157" s="15"/>
      <c r="L157" s="15"/>
      <c r="M157" s="15"/>
      <c r="N157" s="15"/>
      <c r="O157" s="15"/>
      <c r="P157" s="15"/>
      <c r="Q157" s="15"/>
      <c r="R157" s="64"/>
      <c r="S157" s="100"/>
      <c r="T157" s="15"/>
    </row>
    <row r="158" spans="2:20" x14ac:dyDescent="0.25">
      <c r="B158" s="15" t="s">
        <v>75</v>
      </c>
      <c r="C158" s="15"/>
      <c r="D158" s="654">
        <f t="shared" si="49"/>
        <v>-6.7521367521367504E-2</v>
      </c>
      <c r="E158" s="654">
        <f t="shared" si="49"/>
        <v>7.5925925925925952E-2</v>
      </c>
      <c r="F158" s="654">
        <f t="shared" si="49"/>
        <v>-1.566951566951566E-2</v>
      </c>
      <c r="G158" s="654">
        <f t="shared" si="49"/>
        <v>1.5242165242165248E-2</v>
      </c>
      <c r="H158" s="654">
        <f t="shared" si="49"/>
        <v>-1.2393162393162391E-2</v>
      </c>
      <c r="I158" s="654">
        <f t="shared" si="49"/>
        <v>-1.7094017094017033E-3</v>
      </c>
      <c r="J158" s="654">
        <f t="shared" si="49"/>
        <v>6.1253561253561267E-3</v>
      </c>
      <c r="K158" s="15"/>
      <c r="L158" s="15"/>
      <c r="M158" s="15"/>
      <c r="N158" s="15"/>
      <c r="O158" s="15"/>
      <c r="P158" s="15"/>
      <c r="Q158" s="15"/>
      <c r="R158" s="64"/>
      <c r="S158" s="100"/>
      <c r="T158" s="15"/>
    </row>
    <row r="159" spans="2:20" x14ac:dyDescent="0.25">
      <c r="B159" s="15" t="s">
        <v>68</v>
      </c>
      <c r="C159" s="15"/>
      <c r="D159" s="654">
        <f t="shared" si="49"/>
        <v>-0.18172431595250388</v>
      </c>
      <c r="E159" s="654">
        <f t="shared" si="49"/>
        <v>0.14919979349509549</v>
      </c>
      <c r="F159" s="654">
        <f t="shared" si="49"/>
        <v>-6.0230597143348941E-3</v>
      </c>
      <c r="G159" s="654">
        <f t="shared" si="49"/>
        <v>1.7725004302185508E-2</v>
      </c>
      <c r="H159" s="654">
        <f t="shared" si="49"/>
        <v>5.5067974531061784E-3</v>
      </c>
      <c r="I159" s="654">
        <f t="shared" si="49"/>
        <v>1.5918086387885041E-2</v>
      </c>
      <c r="J159" s="654">
        <f t="shared" si="49"/>
        <v>-6.0230597143348837E-4</v>
      </c>
    </row>
    <row r="160" spans="2:20" x14ac:dyDescent="0.25">
      <c r="B160" s="15" t="s">
        <v>69</v>
      </c>
      <c r="C160" s="15"/>
      <c r="D160" s="654">
        <f t="shared" si="49"/>
        <v>1.7412935323383089E-2</v>
      </c>
      <c r="E160" s="654">
        <f t="shared" si="49"/>
        <v>-3.4745626705183719E-2</v>
      </c>
      <c r="F160" s="654">
        <f t="shared" si="49"/>
        <v>1.0511956347295778E-2</v>
      </c>
      <c r="G160" s="654">
        <f t="shared" si="49"/>
        <v>-5.6170759107687374E-3</v>
      </c>
      <c r="H160" s="654">
        <f t="shared" si="49"/>
        <v>-2.8085379553843687E-3</v>
      </c>
      <c r="I160" s="654">
        <f t="shared" si="49"/>
        <v>3.9319531375381217E-3</v>
      </c>
      <c r="J160" s="654">
        <f t="shared" si="49"/>
        <v>1.1314395763119885E-2</v>
      </c>
    </row>
    <row r="161" spans="2:10" x14ac:dyDescent="0.25">
      <c r="B161" s="15" t="s">
        <v>278</v>
      </c>
      <c r="C161" s="15"/>
      <c r="D161" s="654">
        <f t="shared" ref="D161:J167" si="50">D79-D141</f>
        <v>0</v>
      </c>
      <c r="E161" s="654">
        <f t="shared" si="50"/>
        <v>0</v>
      </c>
      <c r="F161" s="654">
        <f t="shared" si="50"/>
        <v>0</v>
      </c>
      <c r="G161" s="654">
        <f t="shared" si="50"/>
        <v>0</v>
      </c>
      <c r="H161" s="654">
        <f t="shared" si="50"/>
        <v>0</v>
      </c>
      <c r="I161" s="654">
        <f t="shared" si="50"/>
        <v>0</v>
      </c>
      <c r="J161" s="654">
        <f t="shared" si="50"/>
        <v>0</v>
      </c>
    </row>
    <row r="162" spans="2:10" x14ac:dyDescent="0.25">
      <c r="B162" s="15" t="s">
        <v>380</v>
      </c>
      <c r="C162" s="15"/>
      <c r="D162" s="654">
        <f t="shared" si="50"/>
        <v>0</v>
      </c>
      <c r="E162" s="654">
        <f t="shared" si="50"/>
        <v>0</v>
      </c>
      <c r="F162" s="654">
        <f t="shared" si="50"/>
        <v>0</v>
      </c>
      <c r="G162" s="654">
        <f t="shared" si="50"/>
        <v>0</v>
      </c>
      <c r="H162" s="654">
        <f t="shared" si="50"/>
        <v>0</v>
      </c>
      <c r="I162" s="654">
        <f t="shared" si="50"/>
        <v>0</v>
      </c>
      <c r="J162" s="654">
        <f t="shared" si="50"/>
        <v>0</v>
      </c>
    </row>
    <row r="163" spans="2:10" x14ac:dyDescent="0.25">
      <c r="B163" s="15" t="s">
        <v>383</v>
      </c>
      <c r="C163" s="15"/>
      <c r="D163" s="654">
        <f t="shared" si="50"/>
        <v>0</v>
      </c>
      <c r="E163" s="654">
        <f t="shared" si="50"/>
        <v>0</v>
      </c>
      <c r="F163" s="654">
        <f t="shared" si="50"/>
        <v>0</v>
      </c>
      <c r="G163" s="654">
        <f t="shared" si="50"/>
        <v>0</v>
      </c>
      <c r="H163" s="654">
        <f t="shared" si="50"/>
        <v>0</v>
      </c>
      <c r="I163" s="654">
        <f t="shared" si="50"/>
        <v>0</v>
      </c>
      <c r="J163" s="654">
        <f t="shared" si="50"/>
        <v>0</v>
      </c>
    </row>
    <row r="164" spans="2:10" x14ac:dyDescent="0.25">
      <c r="B164" s="15" t="s">
        <v>70</v>
      </c>
      <c r="C164" s="15"/>
      <c r="D164" s="654">
        <f t="shared" si="50"/>
        <v>-4.5925346882939228E-2</v>
      </c>
      <c r="E164" s="654">
        <f t="shared" si="50"/>
        <v>-6.5533190020194143E-2</v>
      </c>
      <c r="F164" s="654">
        <f t="shared" si="50"/>
        <v>-2.1366686209367464E-2</v>
      </c>
      <c r="G164" s="654">
        <f t="shared" si="50"/>
        <v>7.0353722884502645E-2</v>
      </c>
      <c r="H164" s="654">
        <f t="shared" si="50"/>
        <v>-3.042147091394698E-2</v>
      </c>
      <c r="I164" s="654">
        <f t="shared" si="50"/>
        <v>6.39046316200899E-2</v>
      </c>
      <c r="J164" s="654">
        <f t="shared" si="50"/>
        <v>2.8988339521855255E-2</v>
      </c>
    </row>
    <row r="165" spans="2:10" x14ac:dyDescent="0.25">
      <c r="B165" s="15" t="s">
        <v>71</v>
      </c>
      <c r="C165" s="15"/>
      <c r="D165" s="654">
        <f t="shared" si="50"/>
        <v>-3.8818310143174023E-2</v>
      </c>
      <c r="E165" s="654">
        <f t="shared" si="50"/>
        <v>4.9304295220810646E-2</v>
      </c>
      <c r="F165" s="654">
        <f t="shared" si="50"/>
        <v>3.8616656583988718E-2</v>
      </c>
      <c r="G165" s="654">
        <f t="shared" si="50"/>
        <v>-7.0578745714861835E-3</v>
      </c>
      <c r="H165" s="654">
        <f t="shared" si="50"/>
        <v>-1.2099213551119176E-2</v>
      </c>
      <c r="I165" s="654">
        <f t="shared" si="50"/>
        <v>-2.9743899979834641E-2</v>
      </c>
      <c r="J165" s="654">
        <f t="shared" si="50"/>
        <v>-2.0165355918531913E-4</v>
      </c>
    </row>
    <row r="166" spans="2:10" x14ac:dyDescent="0.25">
      <c r="B166" s="15" t="s">
        <v>72</v>
      </c>
      <c r="C166" s="15"/>
      <c r="D166" s="654">
        <f t="shared" si="50"/>
        <v>-9.5727969348658987E-2</v>
      </c>
      <c r="E166" s="654">
        <f t="shared" si="50"/>
        <v>6.1609195402298866E-2</v>
      </c>
      <c r="F166" s="654">
        <f t="shared" si="50"/>
        <v>-4.8467432950191573E-3</v>
      </c>
      <c r="G166" s="654">
        <f t="shared" si="50"/>
        <v>1.4942528735632093E-3</v>
      </c>
      <c r="H166" s="654">
        <f t="shared" si="50"/>
        <v>1.6704980842911877E-2</v>
      </c>
      <c r="I166" s="654">
        <f t="shared" si="50"/>
        <v>3.793103448275853E-3</v>
      </c>
      <c r="J166" s="654">
        <f t="shared" si="50"/>
        <v>1.6973180076628354E-2</v>
      </c>
    </row>
    <row r="167" spans="2:10" x14ac:dyDescent="0.25">
      <c r="B167" s="15" t="s">
        <v>73</v>
      </c>
      <c r="C167" s="15"/>
      <c r="D167" s="654">
        <f t="shared" si="50"/>
        <v>-3.1579361333962566E-2</v>
      </c>
      <c r="E167" s="654">
        <f t="shared" si="50"/>
        <v>3.4174925279219753E-2</v>
      </c>
      <c r="F167" s="654">
        <f t="shared" si="50"/>
        <v>5.5057417020607131E-4</v>
      </c>
      <c r="G167" s="654">
        <f t="shared" si="50"/>
        <v>1.0185622148812329E-2</v>
      </c>
      <c r="H167" s="654">
        <f t="shared" si="50"/>
        <v>-1.0972156677678147E-2</v>
      </c>
      <c r="I167" s="654">
        <f t="shared" si="50"/>
        <v>-5.5843951549473039E-3</v>
      </c>
      <c r="J167" s="654">
        <f t="shared" si="50"/>
        <v>3.224791568349844E-3</v>
      </c>
    </row>
    <row r="168" spans="2:10" x14ac:dyDescent="0.25">
      <c r="B168" s="15"/>
      <c r="C168" s="15"/>
      <c r="D168" s="655" t="s">
        <v>280</v>
      </c>
      <c r="E168" s="655" t="s">
        <v>281</v>
      </c>
      <c r="F168" s="655" t="s">
        <v>282</v>
      </c>
      <c r="G168" s="655" t="s">
        <v>283</v>
      </c>
      <c r="H168" s="655" t="s">
        <v>284</v>
      </c>
      <c r="I168" s="655" t="s">
        <v>285</v>
      </c>
      <c r="J168" s="655" t="s">
        <v>286</v>
      </c>
    </row>
    <row r="169" spans="2:10" x14ac:dyDescent="0.25">
      <c r="B169" s="15"/>
      <c r="C169" s="15"/>
      <c r="D169" s="87">
        <f t="shared" ref="D169:J169" si="51">SUM(D151:D167)</f>
        <v>-0.47582739569711785</v>
      </c>
      <c r="E169" s="656">
        <f t="shared" si="51"/>
        <v>0.32734767500584194</v>
      </c>
      <c r="F169" s="656">
        <f t="shared" si="51"/>
        <v>-5.0214523077003879E-2</v>
      </c>
      <c r="G169" s="656">
        <f t="shared" si="51"/>
        <v>0.25839487234420255</v>
      </c>
      <c r="H169" s="656">
        <f t="shared" si="51"/>
        <v>-0.12262833118504891</v>
      </c>
      <c r="I169" s="656">
        <f t="shared" si="51"/>
        <v>-5.3024528818605046E-2</v>
      </c>
      <c r="J169" s="656">
        <f t="shared" si="51"/>
        <v>0.11595223142773126</v>
      </c>
    </row>
  </sheetData>
  <mergeCells count="9">
    <mergeCell ref="D102:F102"/>
    <mergeCell ref="G102:I102"/>
    <mergeCell ref="K102:M102"/>
    <mergeCell ref="N102:P102"/>
    <mergeCell ref="AK102:AK103"/>
    <mergeCell ref="O4:P4"/>
    <mergeCell ref="O25:P25"/>
    <mergeCell ref="O46:P46"/>
    <mergeCell ref="O67:P6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9575-CCA9-4832-82F7-CB54010B3426}">
  <sheetPr>
    <tabColor rgb="FFFFFF00"/>
  </sheetPr>
  <dimension ref="B2:Y71"/>
  <sheetViews>
    <sheetView topLeftCell="A42" workbookViewId="0">
      <selection activeCell="F55" sqref="F55"/>
    </sheetView>
  </sheetViews>
  <sheetFormatPr defaultRowHeight="12.5" x14ac:dyDescent="0.25"/>
  <cols>
    <col min="5" max="5" width="8.54296875" bestFit="1" customWidth="1"/>
    <col min="21" max="21" width="8.7265625" style="2"/>
    <col min="24" max="24" width="10.54296875" bestFit="1" customWidth="1"/>
    <col min="25" max="25" width="9.1796875" style="2"/>
  </cols>
  <sheetData>
    <row r="2" spans="2:25" ht="13" x14ac:dyDescent="0.3">
      <c r="B2" s="167" t="s">
        <v>742</v>
      </c>
      <c r="C2" s="109"/>
      <c r="D2" s="109"/>
      <c r="E2" s="109"/>
      <c r="F2" s="109"/>
      <c r="G2" s="109"/>
      <c r="H2" s="109"/>
      <c r="I2" s="109"/>
      <c r="J2" s="109"/>
      <c r="K2" s="109"/>
      <c r="L2" s="109"/>
      <c r="M2" s="109"/>
      <c r="N2" s="109"/>
      <c r="O2" s="109"/>
      <c r="P2" s="109"/>
      <c r="Q2" s="109"/>
      <c r="R2" s="109"/>
      <c r="S2" s="109"/>
    </row>
    <row r="3" spans="2:25" x14ac:dyDescent="0.25">
      <c r="B3" s="109"/>
      <c r="C3" s="109"/>
      <c r="D3" s="109"/>
      <c r="E3" s="109"/>
      <c r="F3" s="109"/>
      <c r="G3" s="109"/>
      <c r="H3" s="109"/>
      <c r="I3" s="109"/>
      <c r="J3" s="109"/>
      <c r="K3" s="109"/>
      <c r="L3" s="109"/>
      <c r="M3" s="109"/>
      <c r="N3" s="109"/>
      <c r="O3" s="109"/>
      <c r="P3" s="109"/>
      <c r="Q3" s="109"/>
      <c r="R3" s="109"/>
      <c r="S3" s="109"/>
      <c r="X3" s="109" t="s">
        <v>306</v>
      </c>
    </row>
    <row r="4" spans="2:25" ht="37.5" x14ac:dyDescent="0.25">
      <c r="B4" s="109"/>
      <c r="C4" s="114" t="s">
        <v>49</v>
      </c>
      <c r="D4" s="114" t="s">
        <v>50</v>
      </c>
      <c r="E4" s="115" t="s">
        <v>257</v>
      </c>
      <c r="F4" s="116" t="s">
        <v>229</v>
      </c>
      <c r="G4" s="117" t="s">
        <v>280</v>
      </c>
      <c r="H4" s="116" t="s">
        <v>230</v>
      </c>
      <c r="I4" s="117" t="s">
        <v>290</v>
      </c>
      <c r="J4" s="116" t="s">
        <v>231</v>
      </c>
      <c r="K4" s="117" t="s">
        <v>291</v>
      </c>
      <c r="L4" s="116" t="s">
        <v>232</v>
      </c>
      <c r="M4" s="117" t="s">
        <v>292</v>
      </c>
      <c r="N4" s="118" t="s">
        <v>233</v>
      </c>
      <c r="O4" s="119" t="s">
        <v>293</v>
      </c>
      <c r="P4" s="116" t="s">
        <v>234</v>
      </c>
      <c r="Q4" s="117" t="s">
        <v>294</v>
      </c>
      <c r="R4" s="118" t="s">
        <v>235</v>
      </c>
      <c r="S4" s="119" t="s">
        <v>295</v>
      </c>
      <c r="X4" s="367" t="s">
        <v>743</v>
      </c>
      <c r="Y4" s="109" t="s">
        <v>1</v>
      </c>
    </row>
    <row r="5" spans="2:25" ht="20.5" x14ac:dyDescent="0.25">
      <c r="B5" s="68">
        <v>9257010</v>
      </c>
      <c r="C5" s="166" t="s">
        <v>60</v>
      </c>
      <c r="D5" s="121">
        <v>4</v>
      </c>
      <c r="E5" s="597">
        <v>98</v>
      </c>
      <c r="F5" s="123">
        <v>6</v>
      </c>
      <c r="G5" s="124">
        <f>F5/E5</f>
        <v>6.1224489795918366E-2</v>
      </c>
      <c r="H5" s="125">
        <v>42</v>
      </c>
      <c r="I5" s="124">
        <f>H5/E5</f>
        <v>0.42857142857142855</v>
      </c>
      <c r="J5" s="125">
        <v>7</v>
      </c>
      <c r="K5" s="124">
        <f>J5/E5</f>
        <v>7.1428571428571425E-2</v>
      </c>
      <c r="L5" s="125">
        <v>13</v>
      </c>
      <c r="M5" s="124">
        <f>L5/E5</f>
        <v>0.1326530612244898</v>
      </c>
      <c r="N5" s="126">
        <v>8</v>
      </c>
      <c r="O5" s="127">
        <f>N5/E5</f>
        <v>8.1632653061224483E-2</v>
      </c>
      <c r="P5" s="125">
        <v>11</v>
      </c>
      <c r="Q5" s="124">
        <f>P5/E5</f>
        <v>0.11224489795918367</v>
      </c>
      <c r="R5" s="126">
        <v>11</v>
      </c>
      <c r="S5" s="127">
        <f>R5/E5</f>
        <v>0.11224489795918367</v>
      </c>
      <c r="U5" s="598">
        <f>G5+I5+K5+M5+O5+Q5+S5</f>
        <v>1</v>
      </c>
      <c r="X5" s="169">
        <f>VLOOKUP(B5,'2223 Funding Detail'!$A$4:$M$20,13,(FALSE))</f>
        <v>115.33333333333333</v>
      </c>
      <c r="Y5" s="169">
        <f>X5-E5</f>
        <v>17.333333333333329</v>
      </c>
    </row>
    <row r="6" spans="2:25" ht="20.5" x14ac:dyDescent="0.25">
      <c r="B6" s="68">
        <v>9257005</v>
      </c>
      <c r="C6" s="166" t="s">
        <v>63</v>
      </c>
      <c r="D6" s="121" t="s">
        <v>451</v>
      </c>
      <c r="E6" s="597">
        <v>86</v>
      </c>
      <c r="F6" s="123">
        <v>5</v>
      </c>
      <c r="G6" s="124">
        <f>F6/E6</f>
        <v>5.8139534883720929E-2</v>
      </c>
      <c r="H6" s="125">
        <v>33</v>
      </c>
      <c r="I6" s="124">
        <f>H6/E6</f>
        <v>0.38372093023255816</v>
      </c>
      <c r="J6" s="125">
        <v>8</v>
      </c>
      <c r="K6" s="124">
        <f>J6/E6</f>
        <v>9.3023255813953487E-2</v>
      </c>
      <c r="L6" s="125">
        <v>12</v>
      </c>
      <c r="M6" s="124">
        <f>L6/E6</f>
        <v>0.13953488372093023</v>
      </c>
      <c r="N6" s="126">
        <v>10</v>
      </c>
      <c r="O6" s="127">
        <f>N6/E6</f>
        <v>0.11627906976744186</v>
      </c>
      <c r="P6" s="125">
        <v>13</v>
      </c>
      <c r="Q6" s="124">
        <f>P6/E6</f>
        <v>0.15116279069767441</v>
      </c>
      <c r="R6" s="126">
        <v>5</v>
      </c>
      <c r="S6" s="127">
        <f>R6/E6</f>
        <v>5.8139534883720929E-2</v>
      </c>
      <c r="U6" s="598">
        <f t="shared" ref="U6:U21" si="0">G6+I6+K6+M6+O6+Q6+S6</f>
        <v>1.0000000000000002</v>
      </c>
      <c r="X6" s="169">
        <f>VLOOKUP(B6,'2223 Funding Detail'!$A$4:$M$20,13,(FALSE))</f>
        <v>88.583333333333343</v>
      </c>
      <c r="Y6" s="169">
        <f t="shared" ref="Y6:Y21" si="1">X6-E6</f>
        <v>2.5833333333333428</v>
      </c>
    </row>
    <row r="7" spans="2:25" ht="20.5" x14ac:dyDescent="0.25">
      <c r="B7" s="68">
        <v>9257025</v>
      </c>
      <c r="C7" s="166" t="s">
        <v>64</v>
      </c>
      <c r="D7" s="121">
        <v>4</v>
      </c>
      <c r="E7" s="597">
        <v>79</v>
      </c>
      <c r="F7" s="123">
        <v>11</v>
      </c>
      <c r="G7" s="124">
        <f>F7/E7</f>
        <v>0.13924050632911392</v>
      </c>
      <c r="H7" s="125">
        <v>37</v>
      </c>
      <c r="I7" s="124">
        <f>H7/E7</f>
        <v>0.46835443037974683</v>
      </c>
      <c r="J7" s="125">
        <v>3</v>
      </c>
      <c r="K7" s="124">
        <f>J7/E7</f>
        <v>3.7974683544303799E-2</v>
      </c>
      <c r="L7" s="125">
        <v>9</v>
      </c>
      <c r="M7" s="124">
        <f>L7/E7</f>
        <v>0.11392405063291139</v>
      </c>
      <c r="N7" s="126">
        <v>3</v>
      </c>
      <c r="O7" s="127">
        <f>N7/E7</f>
        <v>3.7974683544303799E-2</v>
      </c>
      <c r="P7" s="125">
        <v>12</v>
      </c>
      <c r="Q7" s="124">
        <f>P7/E7</f>
        <v>0.15189873417721519</v>
      </c>
      <c r="R7" s="126">
        <v>4</v>
      </c>
      <c r="S7" s="127">
        <f>R7/E7</f>
        <v>5.0632911392405063E-2</v>
      </c>
      <c r="U7" s="598">
        <f t="shared" si="0"/>
        <v>1</v>
      </c>
      <c r="X7" s="169">
        <f>VLOOKUP(B7,'2223 Funding Detail'!$A$4:$M$20,13,(FALSE))</f>
        <v>84.416666666666671</v>
      </c>
      <c r="Y7" s="169">
        <f t="shared" si="1"/>
        <v>5.4166666666666714</v>
      </c>
    </row>
    <row r="8" spans="2:25" ht="20.5" x14ac:dyDescent="0.25">
      <c r="B8" s="68">
        <v>9257024</v>
      </c>
      <c r="C8" s="166" t="s">
        <v>66</v>
      </c>
      <c r="D8" s="121">
        <v>4</v>
      </c>
      <c r="E8" s="597">
        <v>84</v>
      </c>
      <c r="F8" s="125">
        <v>6</v>
      </c>
      <c r="G8" s="124">
        <f>F8/E8</f>
        <v>7.1428571428571425E-2</v>
      </c>
      <c r="H8" s="125">
        <v>43</v>
      </c>
      <c r="I8" s="124">
        <f>H8/E8</f>
        <v>0.51190476190476186</v>
      </c>
      <c r="J8" s="125">
        <v>2</v>
      </c>
      <c r="K8" s="124">
        <f>J8/E8</f>
        <v>2.3809523809523808E-2</v>
      </c>
      <c r="L8" s="125">
        <v>15</v>
      </c>
      <c r="M8" s="124">
        <f>L8/E8</f>
        <v>0.17857142857142858</v>
      </c>
      <c r="N8" s="126">
        <v>7</v>
      </c>
      <c r="O8" s="127">
        <f>N8/E8</f>
        <v>8.3333333333333329E-2</v>
      </c>
      <c r="P8" s="125">
        <v>6</v>
      </c>
      <c r="Q8" s="124">
        <f>P8/E8</f>
        <v>7.1428571428571425E-2</v>
      </c>
      <c r="R8" s="126">
        <v>5</v>
      </c>
      <c r="S8" s="127">
        <f>R8/E8</f>
        <v>5.9523809523809521E-2</v>
      </c>
      <c r="U8" s="598">
        <f t="shared" si="0"/>
        <v>1</v>
      </c>
      <c r="X8" s="169">
        <f>VLOOKUP(B8,'2223 Funding Detail'!$A$4:$M$20,13,(FALSE))</f>
        <v>86.333333333333343</v>
      </c>
      <c r="Y8" s="169">
        <f t="shared" si="1"/>
        <v>2.3333333333333428</v>
      </c>
    </row>
    <row r="9" spans="2:25" ht="20.5" x14ac:dyDescent="0.25">
      <c r="B9" s="68">
        <v>9257031</v>
      </c>
      <c r="C9" s="166" t="s">
        <v>84</v>
      </c>
      <c r="D9" s="121" t="s">
        <v>452</v>
      </c>
      <c r="E9" s="597">
        <f>F9+H9+J9+L9+N9+P9+R9</f>
        <v>0</v>
      </c>
      <c r="F9" s="125">
        <v>0</v>
      </c>
      <c r="G9" s="124">
        <v>0</v>
      </c>
      <c r="H9" s="125">
        <v>0</v>
      </c>
      <c r="I9" s="124">
        <v>0</v>
      </c>
      <c r="J9" s="125">
        <v>0</v>
      </c>
      <c r="K9" s="124">
        <v>1</v>
      </c>
      <c r="L9" s="125">
        <v>0</v>
      </c>
      <c r="M9" s="124">
        <v>0</v>
      </c>
      <c r="N9" s="126">
        <v>0</v>
      </c>
      <c r="O9" s="127">
        <v>0</v>
      </c>
      <c r="P9" s="125">
        <v>0</v>
      </c>
      <c r="Q9" s="124">
        <v>0</v>
      </c>
      <c r="R9" s="126">
        <v>0</v>
      </c>
      <c r="S9" s="127">
        <v>0</v>
      </c>
      <c r="U9" s="598">
        <f t="shared" si="0"/>
        <v>1</v>
      </c>
      <c r="X9" s="169">
        <f>VLOOKUP(B9,'2223 Funding Detail'!$A$4:$M$20,13,(FALSE))</f>
        <v>80.416666666666671</v>
      </c>
      <c r="Y9" s="169">
        <f t="shared" si="1"/>
        <v>80.416666666666671</v>
      </c>
    </row>
    <row r="10" spans="2:25" ht="30.5" x14ac:dyDescent="0.25">
      <c r="B10" s="68">
        <v>9257033</v>
      </c>
      <c r="C10" s="166" t="s">
        <v>74</v>
      </c>
      <c r="D10" s="121" t="s">
        <v>451</v>
      </c>
      <c r="E10" s="597">
        <v>108</v>
      </c>
      <c r="F10" s="125">
        <v>15</v>
      </c>
      <c r="G10" s="124">
        <f>F10/E10</f>
        <v>0.1388888888888889</v>
      </c>
      <c r="H10" s="125">
        <v>68</v>
      </c>
      <c r="I10" s="124">
        <f>H10/E10</f>
        <v>0.62962962962962965</v>
      </c>
      <c r="J10" s="125">
        <v>5</v>
      </c>
      <c r="K10" s="124">
        <f>J10/E10</f>
        <v>4.6296296296296294E-2</v>
      </c>
      <c r="L10" s="125">
        <v>11</v>
      </c>
      <c r="M10" s="124">
        <f>L10/E10</f>
        <v>0.10185185185185185</v>
      </c>
      <c r="N10" s="126">
        <v>4</v>
      </c>
      <c r="O10" s="127">
        <f>N10/E10</f>
        <v>3.7037037037037035E-2</v>
      </c>
      <c r="P10" s="125">
        <v>4</v>
      </c>
      <c r="Q10" s="124">
        <f>P10/E10</f>
        <v>3.7037037037037035E-2</v>
      </c>
      <c r="R10" s="126">
        <v>1</v>
      </c>
      <c r="S10" s="127">
        <f>R10/E10</f>
        <v>9.2592592592592587E-3</v>
      </c>
      <c r="U10" s="598">
        <f t="shared" si="0"/>
        <v>1</v>
      </c>
      <c r="X10" s="169">
        <f>VLOOKUP(B10,'2223 Funding Detail'!$A$4:$M$20,13,(FALSE))</f>
        <v>106.16666666666669</v>
      </c>
      <c r="Y10" s="169">
        <f t="shared" si="1"/>
        <v>-1.8333333333333144</v>
      </c>
    </row>
    <row r="11" spans="2:25" ht="20.5" x14ac:dyDescent="0.25">
      <c r="B11" s="68">
        <v>9257008</v>
      </c>
      <c r="C11" s="166" t="s">
        <v>67</v>
      </c>
      <c r="D11" s="121">
        <v>4</v>
      </c>
      <c r="E11" s="597">
        <v>100</v>
      </c>
      <c r="F11" s="125">
        <v>11</v>
      </c>
      <c r="G11" s="124">
        <f>F11/E11</f>
        <v>0.11</v>
      </c>
      <c r="H11" s="125">
        <v>64</v>
      </c>
      <c r="I11" s="124">
        <f>H11/E11</f>
        <v>0.64</v>
      </c>
      <c r="J11" s="125">
        <v>7</v>
      </c>
      <c r="K11" s="124">
        <f>J11/E11</f>
        <v>7.0000000000000007E-2</v>
      </c>
      <c r="L11" s="125">
        <v>9</v>
      </c>
      <c r="M11" s="124">
        <f>L11/E11</f>
        <v>0.09</v>
      </c>
      <c r="N11" s="128">
        <v>0</v>
      </c>
      <c r="O11" s="127">
        <f>N11/E11</f>
        <v>0</v>
      </c>
      <c r="P11" s="125">
        <v>9</v>
      </c>
      <c r="Q11" s="124">
        <f>P11/E11</f>
        <v>0.09</v>
      </c>
      <c r="R11" s="128">
        <v>0</v>
      </c>
      <c r="S11" s="127">
        <f>R11/E11</f>
        <v>0</v>
      </c>
      <c r="U11" s="598">
        <f t="shared" si="0"/>
        <v>1</v>
      </c>
      <c r="X11" s="169">
        <f>VLOOKUP(B11,'2223 Funding Detail'!$A$4:$M$20,13,(FALSE))</f>
        <v>100.16666666666667</v>
      </c>
      <c r="Y11" s="169">
        <f t="shared" si="1"/>
        <v>0.1666666666666714</v>
      </c>
    </row>
    <row r="12" spans="2:25" ht="20.5" x14ac:dyDescent="0.25">
      <c r="B12" s="68">
        <v>9257034</v>
      </c>
      <c r="C12" s="166" t="s">
        <v>75</v>
      </c>
      <c r="D12" s="121" t="s">
        <v>451</v>
      </c>
      <c r="E12" s="597">
        <v>108</v>
      </c>
      <c r="F12" s="125">
        <v>48</v>
      </c>
      <c r="G12" s="124">
        <f>F12/E12</f>
        <v>0.44444444444444442</v>
      </c>
      <c r="H12" s="125">
        <v>35</v>
      </c>
      <c r="I12" s="124">
        <f>H12/E12</f>
        <v>0.32407407407407407</v>
      </c>
      <c r="J12" s="125">
        <v>10</v>
      </c>
      <c r="K12" s="124">
        <f>J12/E12</f>
        <v>9.2592592592592587E-2</v>
      </c>
      <c r="L12" s="125">
        <v>5</v>
      </c>
      <c r="M12" s="124">
        <f>L12/E12</f>
        <v>4.6296296296296294E-2</v>
      </c>
      <c r="N12" s="126">
        <v>3</v>
      </c>
      <c r="O12" s="127">
        <f>N12/E12</f>
        <v>2.7777777777777776E-2</v>
      </c>
      <c r="P12" s="125">
        <v>6</v>
      </c>
      <c r="Q12" s="124">
        <f>P12/E12</f>
        <v>5.5555555555555552E-2</v>
      </c>
      <c r="R12" s="126">
        <v>1</v>
      </c>
      <c r="S12" s="127">
        <f>R12/E12</f>
        <v>9.2592592592592587E-3</v>
      </c>
      <c r="U12" s="598">
        <f t="shared" si="0"/>
        <v>1</v>
      </c>
      <c r="X12" s="169">
        <f>VLOOKUP(B12,'2223 Funding Detail'!$A$4:$M$20,13,(FALSE))</f>
        <v>122.16666666666667</v>
      </c>
      <c r="Y12" s="169">
        <f t="shared" si="1"/>
        <v>14.166666666666671</v>
      </c>
    </row>
    <row r="13" spans="2:25" ht="20.5" x14ac:dyDescent="0.25">
      <c r="B13" s="68">
        <v>9257002</v>
      </c>
      <c r="C13" s="166" t="s">
        <v>68</v>
      </c>
      <c r="D13" s="121">
        <v>4</v>
      </c>
      <c r="E13" s="597">
        <v>149</v>
      </c>
      <c r="F13" s="125">
        <v>50</v>
      </c>
      <c r="G13" s="124">
        <f>F13/E13</f>
        <v>0.33557046979865773</v>
      </c>
      <c r="H13" s="125">
        <v>58</v>
      </c>
      <c r="I13" s="124">
        <f>H13/E13</f>
        <v>0.38926174496644295</v>
      </c>
      <c r="J13" s="125">
        <v>20</v>
      </c>
      <c r="K13" s="124">
        <f>J13/E13</f>
        <v>0.13422818791946309</v>
      </c>
      <c r="L13" s="125">
        <v>5</v>
      </c>
      <c r="M13" s="124">
        <f>L13/E13</f>
        <v>3.3557046979865772E-2</v>
      </c>
      <c r="N13" s="126">
        <v>3</v>
      </c>
      <c r="O13" s="127">
        <f>N13/E13</f>
        <v>2.0134228187919462E-2</v>
      </c>
      <c r="P13" s="125">
        <v>11</v>
      </c>
      <c r="Q13" s="124">
        <f>P13/E13</f>
        <v>7.3825503355704702E-2</v>
      </c>
      <c r="R13" s="126">
        <v>2</v>
      </c>
      <c r="S13" s="127">
        <f>R13/E13</f>
        <v>1.3422818791946308E-2</v>
      </c>
      <c r="U13" s="598">
        <f t="shared" si="0"/>
        <v>1</v>
      </c>
      <c r="X13" s="169">
        <f>VLOOKUP(B13,'2223 Funding Detail'!$A$4:$M$20,13,(FALSE))</f>
        <v>155.66666666666669</v>
      </c>
      <c r="Y13" s="169">
        <f t="shared" si="1"/>
        <v>6.6666666666666856</v>
      </c>
    </row>
    <row r="14" spans="2:25" ht="20.5" x14ac:dyDescent="0.25">
      <c r="B14" s="68">
        <v>9257009</v>
      </c>
      <c r="C14" s="166" t="s">
        <v>334</v>
      </c>
      <c r="D14" s="121">
        <v>4</v>
      </c>
      <c r="E14" s="597">
        <f>128+58</f>
        <v>186</v>
      </c>
      <c r="F14" s="125">
        <f>27+4</f>
        <v>31</v>
      </c>
      <c r="G14" s="690">
        <v>0.16728126399462603</v>
      </c>
      <c r="H14" s="125">
        <f>76+23</f>
        <v>99</v>
      </c>
      <c r="I14" s="690">
        <v>0.5331117367060082</v>
      </c>
      <c r="J14" s="125">
        <f>11+0</f>
        <v>11</v>
      </c>
      <c r="K14" s="690">
        <v>5.951180875576037E-2</v>
      </c>
      <c r="L14" s="125">
        <f>5+9</f>
        <v>14</v>
      </c>
      <c r="M14" s="690">
        <v>7.4766176884850405E-2</v>
      </c>
      <c r="N14" s="126">
        <f>1+6</f>
        <v>7</v>
      </c>
      <c r="O14" s="689">
        <v>3.7220400914435951E-2</v>
      </c>
      <c r="P14" s="125">
        <f>8+7</f>
        <v>15</v>
      </c>
      <c r="Q14" s="690">
        <v>8.0393258021177944E-2</v>
      </c>
      <c r="R14" s="126">
        <f>0+9</f>
        <v>9</v>
      </c>
      <c r="S14" s="689">
        <v>4.7715354723141153E-2</v>
      </c>
      <c r="U14" s="598">
        <f t="shared" si="0"/>
        <v>1</v>
      </c>
      <c r="X14" s="169">
        <f>VLOOKUP(B14,'2223 Funding Detail'!$A$4:$M$20,13,(FALSE))</f>
        <v>198.91666666666669</v>
      </c>
      <c r="Y14" s="169">
        <f t="shared" si="1"/>
        <v>12.916666666666686</v>
      </c>
    </row>
    <row r="15" spans="2:25" ht="20.5" x14ac:dyDescent="0.25">
      <c r="B15" s="68">
        <v>9257029</v>
      </c>
      <c r="C15" s="166" t="s">
        <v>278</v>
      </c>
      <c r="D15" s="121" t="s">
        <v>452</v>
      </c>
      <c r="E15" s="597">
        <f>F15+H15+J15+L15+N15+P15+R15</f>
        <v>0</v>
      </c>
      <c r="F15" s="125">
        <v>0</v>
      </c>
      <c r="G15" s="124">
        <v>0</v>
      </c>
      <c r="H15" s="125">
        <v>0</v>
      </c>
      <c r="I15" s="124">
        <v>0</v>
      </c>
      <c r="J15" s="125">
        <v>0</v>
      </c>
      <c r="K15" s="124">
        <v>1</v>
      </c>
      <c r="L15" s="125">
        <v>0</v>
      </c>
      <c r="M15" s="124">
        <v>0</v>
      </c>
      <c r="N15" s="126">
        <v>0</v>
      </c>
      <c r="O15" s="127">
        <v>0</v>
      </c>
      <c r="P15" s="125">
        <v>0</v>
      </c>
      <c r="Q15" s="124">
        <v>0</v>
      </c>
      <c r="R15" s="126">
        <v>0</v>
      </c>
      <c r="S15" s="127">
        <v>0</v>
      </c>
      <c r="U15" s="598">
        <f t="shared" si="0"/>
        <v>1</v>
      </c>
      <c r="X15" s="169">
        <f>VLOOKUP(B15,'2223 Funding Detail'!$A$4:$M$20,13,(FALSE))</f>
        <v>78.583333333333343</v>
      </c>
      <c r="Y15" s="169">
        <f t="shared" si="1"/>
        <v>78.583333333333343</v>
      </c>
    </row>
    <row r="16" spans="2:25" ht="20.5" x14ac:dyDescent="0.25">
      <c r="B16" s="68">
        <v>9257032</v>
      </c>
      <c r="C16" s="166" t="s">
        <v>266</v>
      </c>
      <c r="D16" s="121" t="s">
        <v>452</v>
      </c>
      <c r="E16" s="597">
        <f>F16+H16+J16+L16+N16+P16+R16</f>
        <v>0</v>
      </c>
      <c r="F16" s="125">
        <v>0</v>
      </c>
      <c r="G16" s="124">
        <v>0</v>
      </c>
      <c r="H16" s="125">
        <v>0</v>
      </c>
      <c r="I16" s="124">
        <v>0</v>
      </c>
      <c r="J16" s="125">
        <v>0</v>
      </c>
      <c r="K16" s="124">
        <v>1</v>
      </c>
      <c r="L16" s="125">
        <v>0</v>
      </c>
      <c r="M16" s="124">
        <v>0</v>
      </c>
      <c r="N16" s="126">
        <v>0</v>
      </c>
      <c r="O16" s="127">
        <v>0</v>
      </c>
      <c r="P16" s="125">
        <v>0</v>
      </c>
      <c r="Q16" s="124">
        <v>0</v>
      </c>
      <c r="R16" s="126">
        <v>0</v>
      </c>
      <c r="S16" s="127">
        <v>0</v>
      </c>
      <c r="U16" s="598">
        <f t="shared" si="0"/>
        <v>1</v>
      </c>
      <c r="X16" s="169">
        <f>VLOOKUP(B16,'2223 Funding Detail'!$A$4:$M$20,13,(FALSE))</f>
        <v>104</v>
      </c>
      <c r="Y16" s="169">
        <f t="shared" si="1"/>
        <v>104</v>
      </c>
    </row>
    <row r="17" spans="2:25" ht="20.5" x14ac:dyDescent="0.25">
      <c r="B17" s="68">
        <v>9257030</v>
      </c>
      <c r="C17" s="166" t="s">
        <v>268</v>
      </c>
      <c r="D17" s="121" t="s">
        <v>452</v>
      </c>
      <c r="E17" s="597">
        <f>F17+H17+J17+L17+N17+P17+R17</f>
        <v>0</v>
      </c>
      <c r="F17" s="123">
        <v>0</v>
      </c>
      <c r="G17" s="124">
        <v>0</v>
      </c>
      <c r="H17" s="125">
        <v>0</v>
      </c>
      <c r="I17" s="124">
        <v>0</v>
      </c>
      <c r="J17" s="125">
        <v>0</v>
      </c>
      <c r="K17" s="124">
        <v>1</v>
      </c>
      <c r="L17" s="125">
        <v>0</v>
      </c>
      <c r="M17" s="124">
        <v>0</v>
      </c>
      <c r="N17" s="126">
        <v>0</v>
      </c>
      <c r="O17" s="127">
        <v>0</v>
      </c>
      <c r="P17" s="125">
        <v>0</v>
      </c>
      <c r="Q17" s="124">
        <v>0</v>
      </c>
      <c r="R17" s="126">
        <v>0</v>
      </c>
      <c r="S17" s="127">
        <v>0</v>
      </c>
      <c r="U17" s="598">
        <f t="shared" si="0"/>
        <v>1</v>
      </c>
      <c r="X17" s="169">
        <f>VLOOKUP(B17,'2223 Funding Detail'!$A$4:$M$20,13,(FALSE))</f>
        <v>70.833333333333343</v>
      </c>
      <c r="Y17" s="169">
        <f t="shared" si="1"/>
        <v>70.833333333333343</v>
      </c>
    </row>
    <row r="18" spans="2:25" ht="20.5" x14ac:dyDescent="0.25">
      <c r="B18" s="68">
        <v>9257028</v>
      </c>
      <c r="C18" s="166" t="s">
        <v>70</v>
      </c>
      <c r="D18" s="121">
        <v>4</v>
      </c>
      <c r="E18" s="597">
        <v>119</v>
      </c>
      <c r="F18" s="125">
        <v>11</v>
      </c>
      <c r="G18" s="124">
        <f>F18/E18</f>
        <v>9.2436974789915971E-2</v>
      </c>
      <c r="H18" s="123">
        <v>53</v>
      </c>
      <c r="I18" s="124">
        <f>H18/E18</f>
        <v>0.44537815126050423</v>
      </c>
      <c r="J18" s="123">
        <v>9</v>
      </c>
      <c r="K18" s="124">
        <f>J18/E18</f>
        <v>7.5630252100840331E-2</v>
      </c>
      <c r="L18" s="123">
        <v>11</v>
      </c>
      <c r="M18" s="124">
        <f>L18/E18</f>
        <v>9.2436974789915971E-2</v>
      </c>
      <c r="N18" s="126">
        <v>11</v>
      </c>
      <c r="O18" s="127">
        <f>N18/E18</f>
        <v>9.2436974789915971E-2</v>
      </c>
      <c r="P18" s="123">
        <v>9</v>
      </c>
      <c r="Q18" s="124">
        <f>P18/E18</f>
        <v>7.5630252100840331E-2</v>
      </c>
      <c r="R18" s="126">
        <v>15</v>
      </c>
      <c r="S18" s="127">
        <f>R18/E18</f>
        <v>0.12605042016806722</v>
      </c>
      <c r="U18" s="598">
        <f t="shared" si="0"/>
        <v>1</v>
      </c>
      <c r="X18" s="169">
        <f>VLOOKUP(B18,'2223 Funding Detail'!$A$4:$M$20,13,(FALSE))</f>
        <v>129.91666666666669</v>
      </c>
      <c r="Y18" s="169">
        <f t="shared" si="1"/>
        <v>10.916666666666686</v>
      </c>
    </row>
    <row r="19" spans="2:25" ht="30.5" x14ac:dyDescent="0.25">
      <c r="B19" s="68">
        <v>9257021</v>
      </c>
      <c r="C19" s="166" t="s">
        <v>71</v>
      </c>
      <c r="D19" s="121" t="s">
        <v>453</v>
      </c>
      <c r="E19" s="597">
        <v>171</v>
      </c>
      <c r="F19" s="125">
        <v>43</v>
      </c>
      <c r="G19" s="124">
        <f>F19/E19</f>
        <v>0.25146198830409355</v>
      </c>
      <c r="H19" s="125">
        <v>81</v>
      </c>
      <c r="I19" s="124">
        <f>H19/E19</f>
        <v>0.47368421052631576</v>
      </c>
      <c r="J19" s="125">
        <v>16</v>
      </c>
      <c r="K19" s="124">
        <f>J19/E19</f>
        <v>9.3567251461988299E-2</v>
      </c>
      <c r="L19" s="125">
        <v>13</v>
      </c>
      <c r="M19" s="124">
        <f>L19/E19</f>
        <v>7.6023391812865493E-2</v>
      </c>
      <c r="N19" s="126">
        <v>6</v>
      </c>
      <c r="O19" s="127">
        <f>N19/E19</f>
        <v>3.5087719298245612E-2</v>
      </c>
      <c r="P19" s="125">
        <v>10</v>
      </c>
      <c r="Q19" s="124">
        <f>P19/E19</f>
        <v>5.8479532163742687E-2</v>
      </c>
      <c r="R19" s="126">
        <v>2</v>
      </c>
      <c r="S19" s="127">
        <f>R19/E19</f>
        <v>1.1695906432748537E-2</v>
      </c>
      <c r="U19" s="598">
        <f t="shared" si="0"/>
        <v>0.99999999999999989</v>
      </c>
      <c r="X19" s="169">
        <f>VLOOKUP(B19,'2223 Funding Detail'!$A$4:$M$20,13,(FALSE))</f>
        <v>174.25</v>
      </c>
      <c r="Y19" s="169">
        <f t="shared" si="1"/>
        <v>3.25</v>
      </c>
    </row>
    <row r="20" spans="2:25" ht="30.5" x14ac:dyDescent="0.25">
      <c r="B20" s="68">
        <v>9257015</v>
      </c>
      <c r="C20" s="166" t="s">
        <v>72</v>
      </c>
      <c r="D20" s="121" t="s">
        <v>454</v>
      </c>
      <c r="E20" s="597">
        <v>225</v>
      </c>
      <c r="F20" s="125">
        <v>71</v>
      </c>
      <c r="G20" s="124">
        <f>F20/E20</f>
        <v>0.31555555555555553</v>
      </c>
      <c r="H20" s="125">
        <v>87</v>
      </c>
      <c r="I20" s="124">
        <f>H20/E20</f>
        <v>0.38666666666666666</v>
      </c>
      <c r="J20" s="125">
        <v>4</v>
      </c>
      <c r="K20" s="124">
        <f>J20/E20</f>
        <v>1.7777777777777778E-2</v>
      </c>
      <c r="L20" s="125">
        <v>21</v>
      </c>
      <c r="M20" s="124">
        <f>L20/E20</f>
        <v>9.3333333333333338E-2</v>
      </c>
      <c r="N20" s="126">
        <v>4</v>
      </c>
      <c r="O20" s="127">
        <f>N20/E20</f>
        <v>1.7777777777777778E-2</v>
      </c>
      <c r="P20" s="125">
        <v>36</v>
      </c>
      <c r="Q20" s="124">
        <f>P20/E20</f>
        <v>0.16</v>
      </c>
      <c r="R20" s="126">
        <v>2</v>
      </c>
      <c r="S20" s="127">
        <f>R20/E20</f>
        <v>8.8888888888888889E-3</v>
      </c>
      <c r="U20" s="598">
        <f t="shared" si="0"/>
        <v>1</v>
      </c>
      <c r="X20" s="169">
        <f>VLOOKUP(B20,'2223 Funding Detail'!$A$4:$M$20,13,(FALSE))</f>
        <v>226.5</v>
      </c>
      <c r="Y20" s="169">
        <f t="shared" si="1"/>
        <v>1.5</v>
      </c>
    </row>
    <row r="21" spans="2:25" ht="20.5" x14ac:dyDescent="0.25">
      <c r="B21" s="68">
        <v>9257016</v>
      </c>
      <c r="C21" s="166" t="s">
        <v>73</v>
      </c>
      <c r="D21" s="121" t="s">
        <v>454</v>
      </c>
      <c r="E21" s="597">
        <v>163</v>
      </c>
      <c r="F21" s="125">
        <v>25</v>
      </c>
      <c r="G21" s="124">
        <f>F21/E21</f>
        <v>0.15337423312883436</v>
      </c>
      <c r="H21" s="125">
        <v>31</v>
      </c>
      <c r="I21" s="124">
        <f>H21/E21</f>
        <v>0.19018404907975461</v>
      </c>
      <c r="J21" s="125">
        <v>2</v>
      </c>
      <c r="K21" s="124">
        <f>J21/E21</f>
        <v>1.2269938650306749E-2</v>
      </c>
      <c r="L21" s="125">
        <v>37</v>
      </c>
      <c r="M21" s="124">
        <f>L21/E21</f>
        <v>0.22699386503067484</v>
      </c>
      <c r="N21" s="126">
        <v>30</v>
      </c>
      <c r="O21" s="127">
        <f>N21/E21</f>
        <v>0.18404907975460122</v>
      </c>
      <c r="P21" s="125">
        <v>3</v>
      </c>
      <c r="Q21" s="124">
        <f>P21/E21</f>
        <v>1.8404907975460124E-2</v>
      </c>
      <c r="R21" s="126">
        <v>35</v>
      </c>
      <c r="S21" s="127">
        <f>R21/E21</f>
        <v>0.21472392638036811</v>
      </c>
      <c r="U21" s="598">
        <f t="shared" si="0"/>
        <v>1</v>
      </c>
      <c r="X21" s="169">
        <f>VLOOKUP(B21,'2223 Funding Detail'!$A$4:$M$20,13,(FALSE))</f>
        <v>164.75</v>
      </c>
      <c r="Y21" s="169">
        <f t="shared" si="1"/>
        <v>1.75</v>
      </c>
    </row>
    <row r="23" spans="2:25" ht="13" x14ac:dyDescent="0.3">
      <c r="E23" s="599">
        <f>SUM(E5:E22)</f>
        <v>1676</v>
      </c>
      <c r="F23" s="169">
        <f>SUM(F5:F22)</f>
        <v>333</v>
      </c>
      <c r="G23" s="609">
        <f>SUM(G5:G21)</f>
        <v>2.3390469213423413</v>
      </c>
      <c r="H23" s="169">
        <f>SUM(H5:H22)</f>
        <v>731</v>
      </c>
      <c r="I23" s="609">
        <f>SUM(I5:I21)</f>
        <v>5.8045418139978926</v>
      </c>
      <c r="J23" s="169">
        <f>SUM(J5:J22)</f>
        <v>104</v>
      </c>
      <c r="K23" s="609">
        <f>SUM(K5:K21)</f>
        <v>4.8281101401513782</v>
      </c>
      <c r="L23" s="169">
        <f>SUM(L5:L22)</f>
        <v>175</v>
      </c>
      <c r="M23" s="609">
        <f>SUM(M5:M21)</f>
        <v>1.3999423611294137</v>
      </c>
      <c r="N23" s="169">
        <f>SUM(N5:N22)</f>
        <v>96</v>
      </c>
      <c r="O23" s="609">
        <f>SUM(O5:O21)</f>
        <v>0.77074073524401432</v>
      </c>
      <c r="P23" s="169">
        <f>SUM(P5:P22)</f>
        <v>145</v>
      </c>
      <c r="Q23" s="609">
        <f>SUM(Q5:Q21)</f>
        <v>1.1360610404721627</v>
      </c>
      <c r="R23" s="169">
        <f>SUM(R5:R22)</f>
        <v>92</v>
      </c>
    </row>
    <row r="24" spans="2:25" ht="13" x14ac:dyDescent="0.3">
      <c r="E24" s="599">
        <f>SUM(F24:S24)</f>
        <v>2010.7376912784637</v>
      </c>
      <c r="F24" s="169">
        <f>F23</f>
        <v>333</v>
      </c>
      <c r="G24" s="609">
        <f>G23/18</f>
        <v>0.12994705118568561</v>
      </c>
      <c r="H24" s="169">
        <f>H23</f>
        <v>731</v>
      </c>
      <c r="I24" s="609">
        <f>I23/18</f>
        <v>0.32247454522210517</v>
      </c>
      <c r="J24" s="169">
        <f>J23+X9+X15+X16+X17</f>
        <v>437.83333333333337</v>
      </c>
      <c r="K24" s="609">
        <f>K23/18</f>
        <v>0.26822834111952099</v>
      </c>
      <c r="L24" s="169">
        <f>L23</f>
        <v>175</v>
      </c>
      <c r="M24" s="609">
        <f>M23/18</f>
        <v>7.7774575618300756E-2</v>
      </c>
      <c r="N24" s="169">
        <f>N23</f>
        <v>96</v>
      </c>
      <c r="O24" s="609">
        <f>O23/18</f>
        <v>4.2818929735778576E-2</v>
      </c>
      <c r="P24" s="169">
        <f>P23</f>
        <v>145</v>
      </c>
      <c r="Q24" s="609">
        <f>Q23/18</f>
        <v>6.3114502248453483E-2</v>
      </c>
      <c r="R24" s="169">
        <f>R23</f>
        <v>92</v>
      </c>
    </row>
    <row r="25" spans="2:25" ht="13" x14ac:dyDescent="0.3">
      <c r="B25" s="167" t="s">
        <v>723</v>
      </c>
      <c r="C25" s="109"/>
      <c r="D25" s="109"/>
      <c r="E25" s="109"/>
      <c r="F25" s="612">
        <f>F24/$E$24</f>
        <v>0.16561086085190582</v>
      </c>
      <c r="G25" s="612"/>
      <c r="H25" s="612">
        <f>H24/$E$24</f>
        <v>0.36354816601424372</v>
      </c>
      <c r="I25" s="612"/>
      <c r="J25" s="612">
        <f>J24/$E$24</f>
        <v>0.21774761334232062</v>
      </c>
      <c r="K25" s="612"/>
      <c r="L25" s="612">
        <f>L24/$E$24</f>
        <v>8.7032734681932483E-2</v>
      </c>
      <c r="M25" s="612"/>
      <c r="N25" s="612">
        <f>N24/$E$24</f>
        <v>4.7743671596945821E-2</v>
      </c>
      <c r="O25" s="612"/>
      <c r="P25" s="612">
        <f>P24/$E$24</f>
        <v>7.2112837307886923E-2</v>
      </c>
      <c r="Q25" s="612"/>
      <c r="R25" s="612">
        <f>R24/$E$24</f>
        <v>4.5754351947073078E-2</v>
      </c>
      <c r="S25" s="109"/>
    </row>
    <row r="26" spans="2:25" x14ac:dyDescent="0.25">
      <c r="B26" s="109"/>
      <c r="C26" s="109"/>
      <c r="D26" s="109"/>
      <c r="E26" s="109" t="s">
        <v>1</v>
      </c>
      <c r="F26" s="129" t="e">
        <f>F25-F49</f>
        <v>#REF!</v>
      </c>
      <c r="G26" s="129"/>
      <c r="H26" s="129" t="e">
        <f t="shared" ref="H26:P26" si="2">H25-H49</f>
        <v>#REF!</v>
      </c>
      <c r="I26" s="129"/>
      <c r="J26" s="129" t="e">
        <f t="shared" si="2"/>
        <v>#REF!</v>
      </c>
      <c r="K26" s="129"/>
      <c r="L26" s="129" t="e">
        <f t="shared" si="2"/>
        <v>#REF!</v>
      </c>
      <c r="M26" s="129"/>
      <c r="N26" s="129" t="e">
        <f t="shared" si="2"/>
        <v>#REF!</v>
      </c>
      <c r="O26" s="129"/>
      <c r="P26" s="129" t="e">
        <f t="shared" si="2"/>
        <v>#REF!</v>
      </c>
      <c r="Q26" s="129"/>
      <c r="R26" s="129" t="e">
        <f>R25-R49</f>
        <v>#REF!</v>
      </c>
      <c r="S26" s="109"/>
      <c r="X26" s="109" t="s">
        <v>305</v>
      </c>
    </row>
    <row r="27" spans="2:25" ht="37.5" x14ac:dyDescent="0.25">
      <c r="B27" s="109"/>
      <c r="C27" s="114" t="s">
        <v>49</v>
      </c>
      <c r="D27" s="114" t="s">
        <v>50</v>
      </c>
      <c r="E27" s="115" t="s">
        <v>257</v>
      </c>
      <c r="F27" s="116" t="s">
        <v>229</v>
      </c>
      <c r="G27" s="117" t="s">
        <v>280</v>
      </c>
      <c r="H27" s="116" t="s">
        <v>230</v>
      </c>
      <c r="I27" s="117" t="s">
        <v>290</v>
      </c>
      <c r="J27" s="116" t="s">
        <v>231</v>
      </c>
      <c r="K27" s="117" t="s">
        <v>291</v>
      </c>
      <c r="L27" s="116" t="s">
        <v>232</v>
      </c>
      <c r="M27" s="117" t="s">
        <v>292</v>
      </c>
      <c r="N27" s="118" t="s">
        <v>233</v>
      </c>
      <c r="O27" s="119" t="s">
        <v>293</v>
      </c>
      <c r="P27" s="116" t="s">
        <v>234</v>
      </c>
      <c r="Q27" s="117" t="s">
        <v>294</v>
      </c>
      <c r="R27" s="118" t="s">
        <v>235</v>
      </c>
      <c r="S27" s="119" t="s">
        <v>295</v>
      </c>
      <c r="X27" s="367" t="s">
        <v>743</v>
      </c>
      <c r="Y27" s="109" t="s">
        <v>1</v>
      </c>
    </row>
    <row r="28" spans="2:25" ht="20.5" x14ac:dyDescent="0.25">
      <c r="B28" s="68">
        <v>9257010</v>
      </c>
      <c r="C28" s="166" t="s">
        <v>60</v>
      </c>
      <c r="D28" s="121">
        <v>4</v>
      </c>
      <c r="E28" s="164">
        <v>63</v>
      </c>
      <c r="F28" s="123">
        <v>1</v>
      </c>
      <c r="G28" s="124">
        <f>F28/E28</f>
        <v>1.5873015873015872E-2</v>
      </c>
      <c r="H28" s="125">
        <v>20</v>
      </c>
      <c r="I28" s="124">
        <f>H28/E28</f>
        <v>0.31746031746031744</v>
      </c>
      <c r="J28" s="125">
        <v>6</v>
      </c>
      <c r="K28" s="124">
        <f>J28/E28</f>
        <v>9.5238095238095233E-2</v>
      </c>
      <c r="L28" s="125">
        <v>11</v>
      </c>
      <c r="M28" s="124">
        <f>L28/E28</f>
        <v>0.17460317460317459</v>
      </c>
      <c r="N28" s="126">
        <v>4</v>
      </c>
      <c r="O28" s="127">
        <f>N28/E28</f>
        <v>6.3492063492063489E-2</v>
      </c>
      <c r="P28" s="125">
        <v>12</v>
      </c>
      <c r="Q28" s="124">
        <f>P28/E28</f>
        <v>0.19047619047619047</v>
      </c>
      <c r="R28" s="126">
        <v>9</v>
      </c>
      <c r="S28" s="127">
        <f>R28/E28</f>
        <v>0.14285714285714285</v>
      </c>
      <c r="U28" s="598">
        <f t="shared" ref="U28:U45" si="3">G28+I28+K28+M28+O28+Q28+S28</f>
        <v>1</v>
      </c>
      <c r="X28" s="169" t="e">
        <f>VLOOKUP(B28,#REF!,13,(FALSE))</f>
        <v>#REF!</v>
      </c>
      <c r="Y28" s="169" t="e">
        <f>X28-E28</f>
        <v>#REF!</v>
      </c>
    </row>
    <row r="29" spans="2:25" ht="20.5" x14ac:dyDescent="0.25">
      <c r="B29" s="68">
        <v>9257005</v>
      </c>
      <c r="C29" s="166" t="s">
        <v>63</v>
      </c>
      <c r="D29" s="121" t="s">
        <v>451</v>
      </c>
      <c r="E29" s="164">
        <v>80</v>
      </c>
      <c r="F29" s="123">
        <v>4</v>
      </c>
      <c r="G29" s="124">
        <f>F29/E29</f>
        <v>0.05</v>
      </c>
      <c r="H29" s="125">
        <v>32</v>
      </c>
      <c r="I29" s="124">
        <f>H29/E29</f>
        <v>0.4</v>
      </c>
      <c r="J29" s="125">
        <v>5</v>
      </c>
      <c r="K29" s="124">
        <f>J29/E29</f>
        <v>6.25E-2</v>
      </c>
      <c r="L29" s="125">
        <v>12</v>
      </c>
      <c r="M29" s="124">
        <f>L29/E29</f>
        <v>0.15</v>
      </c>
      <c r="N29" s="126">
        <v>10</v>
      </c>
      <c r="O29" s="127">
        <f>N29/E29</f>
        <v>0.125</v>
      </c>
      <c r="P29" s="125">
        <v>12</v>
      </c>
      <c r="Q29" s="124">
        <f>P29/E29</f>
        <v>0.15</v>
      </c>
      <c r="R29" s="126">
        <v>5</v>
      </c>
      <c r="S29" s="127">
        <f>R29/E29</f>
        <v>6.25E-2</v>
      </c>
      <c r="U29" s="598">
        <f t="shared" si="3"/>
        <v>1</v>
      </c>
      <c r="X29" s="169" t="e">
        <f>VLOOKUP(B29,#REF!,13,(FALSE))</f>
        <v>#REF!</v>
      </c>
      <c r="Y29" s="169" t="e">
        <f t="shared" ref="Y29:Y45" si="4">X29-E29</f>
        <v>#REF!</v>
      </c>
    </row>
    <row r="30" spans="2:25" ht="20.5" x14ac:dyDescent="0.25">
      <c r="B30" s="68">
        <v>9257025</v>
      </c>
      <c r="C30" s="166" t="s">
        <v>64</v>
      </c>
      <c r="D30" s="121">
        <v>4</v>
      </c>
      <c r="E30" s="164">
        <v>77</v>
      </c>
      <c r="F30" s="123">
        <v>12</v>
      </c>
      <c r="G30" s="124">
        <f>F30/E30</f>
        <v>0.15584415584415584</v>
      </c>
      <c r="H30" s="125">
        <v>31</v>
      </c>
      <c r="I30" s="124">
        <f>H30/E30</f>
        <v>0.40259740259740262</v>
      </c>
      <c r="J30" s="125">
        <v>3</v>
      </c>
      <c r="K30" s="124">
        <f>J30/E30</f>
        <v>3.896103896103896E-2</v>
      </c>
      <c r="L30" s="125">
        <v>12</v>
      </c>
      <c r="M30" s="124">
        <f>L30/E30</f>
        <v>0.15584415584415584</v>
      </c>
      <c r="N30" s="126">
        <v>4</v>
      </c>
      <c r="O30" s="127">
        <f>N30/E30</f>
        <v>5.1948051948051951E-2</v>
      </c>
      <c r="P30" s="125">
        <v>11</v>
      </c>
      <c r="Q30" s="124">
        <f>P30/E30</f>
        <v>0.14285714285714285</v>
      </c>
      <c r="R30" s="126">
        <v>4</v>
      </c>
      <c r="S30" s="127">
        <f>R30/E30</f>
        <v>5.1948051948051951E-2</v>
      </c>
      <c r="U30" s="598">
        <f t="shared" si="3"/>
        <v>1</v>
      </c>
      <c r="X30" s="169" t="e">
        <f>VLOOKUP(B30,#REF!,13,(FALSE))</f>
        <v>#REF!</v>
      </c>
      <c r="Y30" s="169" t="e">
        <f t="shared" si="4"/>
        <v>#REF!</v>
      </c>
    </row>
    <row r="31" spans="2:25" ht="20.5" x14ac:dyDescent="0.25">
      <c r="B31" s="68">
        <v>9257011</v>
      </c>
      <c r="C31" s="166" t="s">
        <v>65</v>
      </c>
      <c r="D31" s="121">
        <v>4</v>
      </c>
      <c r="E31" s="164">
        <v>53</v>
      </c>
      <c r="F31" s="123">
        <v>3</v>
      </c>
      <c r="G31" s="124">
        <f>F31/E31</f>
        <v>5.6603773584905662E-2</v>
      </c>
      <c r="H31" s="125">
        <v>19</v>
      </c>
      <c r="I31" s="124">
        <f>H31/E31</f>
        <v>0.35849056603773582</v>
      </c>
      <c r="J31" s="125">
        <v>1</v>
      </c>
      <c r="K31" s="124">
        <f>J31/E31</f>
        <v>1.8867924528301886E-2</v>
      </c>
      <c r="L31" s="125">
        <v>9</v>
      </c>
      <c r="M31" s="124">
        <f>L31/E31</f>
        <v>0.16981132075471697</v>
      </c>
      <c r="N31" s="126">
        <v>7</v>
      </c>
      <c r="O31" s="127">
        <f>N31/E31</f>
        <v>0.13207547169811321</v>
      </c>
      <c r="P31" s="125">
        <v>8</v>
      </c>
      <c r="Q31" s="124">
        <f>P31/E31</f>
        <v>0.15094339622641509</v>
      </c>
      <c r="R31" s="126">
        <v>6</v>
      </c>
      <c r="S31" s="127">
        <f>R31/E31</f>
        <v>0.11320754716981132</v>
      </c>
      <c r="U31" s="598">
        <f t="shared" si="3"/>
        <v>0.99999999999999989</v>
      </c>
      <c r="X31" s="169" t="e">
        <f>VLOOKUP(B31,#REF!,13,(FALSE))</f>
        <v>#REF!</v>
      </c>
      <c r="Y31" s="169" t="e">
        <f t="shared" si="4"/>
        <v>#REF!</v>
      </c>
    </row>
    <row r="32" spans="2:25" ht="20.5" x14ac:dyDescent="0.25">
      <c r="B32" s="68">
        <v>9257024</v>
      </c>
      <c r="C32" s="166" t="s">
        <v>66</v>
      </c>
      <c r="D32" s="121">
        <v>4</v>
      </c>
      <c r="E32" s="164">
        <v>83</v>
      </c>
      <c r="F32" s="125">
        <v>7</v>
      </c>
      <c r="G32" s="124">
        <f>F32/E32</f>
        <v>8.4337349397590355E-2</v>
      </c>
      <c r="H32" s="125">
        <v>38</v>
      </c>
      <c r="I32" s="124">
        <f>H32/E32</f>
        <v>0.45783132530120479</v>
      </c>
      <c r="J32" s="125">
        <v>1</v>
      </c>
      <c r="K32" s="124">
        <f>J32/E32</f>
        <v>1.2048192771084338E-2</v>
      </c>
      <c r="L32" s="125">
        <v>15</v>
      </c>
      <c r="M32" s="124">
        <f>L32/E32</f>
        <v>0.18072289156626506</v>
      </c>
      <c r="N32" s="126">
        <v>7</v>
      </c>
      <c r="O32" s="127">
        <f>N32/E32</f>
        <v>8.4337349397590355E-2</v>
      </c>
      <c r="P32" s="125">
        <v>6</v>
      </c>
      <c r="Q32" s="124">
        <f>P32/E32</f>
        <v>7.2289156626506021E-2</v>
      </c>
      <c r="R32" s="126">
        <v>9</v>
      </c>
      <c r="S32" s="127">
        <f>R32/E32</f>
        <v>0.10843373493975904</v>
      </c>
      <c r="U32" s="598">
        <f t="shared" si="3"/>
        <v>1</v>
      </c>
      <c r="X32" s="169" t="e">
        <f>VLOOKUP(B32,#REF!,13,(FALSE))</f>
        <v>#REF!</v>
      </c>
      <c r="Y32" s="169" t="e">
        <f t="shared" si="4"/>
        <v>#REF!</v>
      </c>
    </row>
    <row r="33" spans="2:25" ht="20.5" x14ac:dyDescent="0.25">
      <c r="B33" s="68">
        <v>9257031</v>
      </c>
      <c r="C33" s="166" t="s">
        <v>84</v>
      </c>
      <c r="D33" s="121" t="s">
        <v>452</v>
      </c>
      <c r="E33" s="164">
        <f>F33+H33+J33+L33+N33+P33+R33</f>
        <v>0</v>
      </c>
      <c r="F33" s="125">
        <v>0</v>
      </c>
      <c r="G33" s="124">
        <v>0</v>
      </c>
      <c r="H33" s="125">
        <v>0</v>
      </c>
      <c r="I33" s="124">
        <v>0</v>
      </c>
      <c r="J33" s="125">
        <v>0</v>
      </c>
      <c r="K33" s="124">
        <v>1</v>
      </c>
      <c r="L33" s="125">
        <v>0</v>
      </c>
      <c r="M33" s="124">
        <v>0</v>
      </c>
      <c r="N33" s="126">
        <v>0</v>
      </c>
      <c r="O33" s="127">
        <v>0</v>
      </c>
      <c r="P33" s="125">
        <v>0</v>
      </c>
      <c r="Q33" s="124">
        <v>0</v>
      </c>
      <c r="R33" s="126">
        <v>0</v>
      </c>
      <c r="S33" s="127">
        <v>0</v>
      </c>
      <c r="U33" s="598">
        <f t="shared" si="3"/>
        <v>1</v>
      </c>
      <c r="X33" s="169" t="e">
        <f>VLOOKUP(B33,#REF!,13,(FALSE))</f>
        <v>#REF!</v>
      </c>
      <c r="Y33" s="169" t="e">
        <f t="shared" si="4"/>
        <v>#REF!</v>
      </c>
    </row>
    <row r="34" spans="2:25" ht="30.5" x14ac:dyDescent="0.25">
      <c r="B34" s="68">
        <v>9257033</v>
      </c>
      <c r="C34" s="166" t="s">
        <v>74</v>
      </c>
      <c r="D34" s="121" t="s">
        <v>451</v>
      </c>
      <c r="E34" s="164">
        <v>95</v>
      </c>
      <c r="F34" s="125">
        <v>16</v>
      </c>
      <c r="G34" s="124">
        <f>F34/E34</f>
        <v>0.16842105263157894</v>
      </c>
      <c r="H34" s="125">
        <v>51</v>
      </c>
      <c r="I34" s="124">
        <f>H34/E34</f>
        <v>0.5368421052631579</v>
      </c>
      <c r="J34" s="125">
        <v>6</v>
      </c>
      <c r="K34" s="124">
        <f>J34/E34</f>
        <v>6.3157894736842107E-2</v>
      </c>
      <c r="L34" s="125">
        <v>14</v>
      </c>
      <c r="M34" s="124">
        <f>L34/E34</f>
        <v>0.14736842105263157</v>
      </c>
      <c r="N34" s="126">
        <v>4</v>
      </c>
      <c r="O34" s="127">
        <f>N34/E34</f>
        <v>4.2105263157894736E-2</v>
      </c>
      <c r="P34" s="125">
        <v>4</v>
      </c>
      <c r="Q34" s="124">
        <f>P34/E34</f>
        <v>4.2105263157894736E-2</v>
      </c>
      <c r="R34" s="126">
        <v>0</v>
      </c>
      <c r="S34" s="127">
        <f>R34/E34</f>
        <v>0</v>
      </c>
      <c r="U34" s="598">
        <f t="shared" si="3"/>
        <v>1</v>
      </c>
      <c r="X34" s="169" t="e">
        <f>VLOOKUP(B34,#REF!,13,(FALSE))</f>
        <v>#REF!</v>
      </c>
      <c r="Y34" s="169" t="e">
        <f t="shared" si="4"/>
        <v>#REF!</v>
      </c>
    </row>
    <row r="35" spans="2:25" ht="20.5" x14ac:dyDescent="0.25">
      <c r="B35" s="68">
        <v>9257008</v>
      </c>
      <c r="C35" s="166" t="s">
        <v>67</v>
      </c>
      <c r="D35" s="121">
        <v>4</v>
      </c>
      <c r="E35" s="164">
        <v>99</v>
      </c>
      <c r="F35" s="125">
        <v>10</v>
      </c>
      <c r="G35" s="124">
        <f>F35/E35</f>
        <v>0.10101010101010101</v>
      </c>
      <c r="H35" s="125">
        <v>58</v>
      </c>
      <c r="I35" s="124">
        <f>H35/E35</f>
        <v>0.58585858585858586</v>
      </c>
      <c r="J35" s="125">
        <v>8</v>
      </c>
      <c r="K35" s="124">
        <f>J35/E35</f>
        <v>8.0808080808080815E-2</v>
      </c>
      <c r="L35" s="125">
        <v>9</v>
      </c>
      <c r="M35" s="124">
        <f>L35/E35</f>
        <v>9.0909090909090912E-2</v>
      </c>
      <c r="N35" s="128">
        <v>1</v>
      </c>
      <c r="O35" s="127">
        <f>N35/E35</f>
        <v>1.0101010101010102E-2</v>
      </c>
      <c r="P35" s="125">
        <v>12</v>
      </c>
      <c r="Q35" s="124">
        <f>P35/E35</f>
        <v>0.12121212121212122</v>
      </c>
      <c r="R35" s="128">
        <v>1</v>
      </c>
      <c r="S35" s="127">
        <f>R35/E35</f>
        <v>1.0101010101010102E-2</v>
      </c>
      <c r="U35" s="598">
        <f t="shared" si="3"/>
        <v>0.99999999999999989</v>
      </c>
      <c r="X35" s="169" t="e">
        <f>VLOOKUP(B35,#REF!,13,(FALSE))</f>
        <v>#REF!</v>
      </c>
      <c r="Y35" s="169" t="e">
        <f t="shared" si="4"/>
        <v>#REF!</v>
      </c>
    </row>
    <row r="36" spans="2:25" ht="20.5" x14ac:dyDescent="0.25">
      <c r="B36" s="68">
        <v>9257034</v>
      </c>
      <c r="C36" s="166" t="s">
        <v>75</v>
      </c>
      <c r="D36" s="121" t="s">
        <v>451</v>
      </c>
      <c r="E36" s="164">
        <v>99</v>
      </c>
      <c r="F36" s="125">
        <v>42</v>
      </c>
      <c r="G36" s="124">
        <f>F36/E36</f>
        <v>0.42424242424242425</v>
      </c>
      <c r="H36" s="125">
        <v>29</v>
      </c>
      <c r="I36" s="124">
        <f>H36/E36</f>
        <v>0.29292929292929293</v>
      </c>
      <c r="J36" s="125">
        <v>14</v>
      </c>
      <c r="K36" s="124">
        <f>J36/E36</f>
        <v>0.14141414141414141</v>
      </c>
      <c r="L36" s="125">
        <v>3</v>
      </c>
      <c r="M36" s="124">
        <f>L36/E36</f>
        <v>3.0303030303030304E-2</v>
      </c>
      <c r="N36" s="126">
        <v>4</v>
      </c>
      <c r="O36" s="127">
        <f>N36/E36</f>
        <v>4.0404040404040407E-2</v>
      </c>
      <c r="P36" s="125">
        <v>6</v>
      </c>
      <c r="Q36" s="124">
        <f>P36/E36</f>
        <v>6.0606060606060608E-2</v>
      </c>
      <c r="R36" s="126">
        <v>1</v>
      </c>
      <c r="S36" s="127">
        <f>R36/E36</f>
        <v>1.0101010101010102E-2</v>
      </c>
      <c r="U36" s="598">
        <f t="shared" si="3"/>
        <v>0.99999999999999989</v>
      </c>
      <c r="X36" s="169" t="e">
        <f>VLOOKUP(B36,#REF!,13,(FALSE))</f>
        <v>#REF!</v>
      </c>
      <c r="Y36" s="169" t="e">
        <f t="shared" si="4"/>
        <v>#REF!</v>
      </c>
    </row>
    <row r="37" spans="2:25" ht="20.5" x14ac:dyDescent="0.25">
      <c r="B37" s="68">
        <v>9257002</v>
      </c>
      <c r="C37" s="166" t="s">
        <v>68</v>
      </c>
      <c r="D37" s="121">
        <v>4</v>
      </c>
      <c r="E37" s="164">
        <v>141</v>
      </c>
      <c r="F37" s="125">
        <v>50</v>
      </c>
      <c r="G37" s="124">
        <f>F37/E37</f>
        <v>0.3546099290780142</v>
      </c>
      <c r="H37" s="125">
        <v>54</v>
      </c>
      <c r="I37" s="124">
        <f>H37/E37</f>
        <v>0.38297872340425532</v>
      </c>
      <c r="J37" s="125">
        <v>18</v>
      </c>
      <c r="K37" s="124">
        <f>J37/E37</f>
        <v>0.1276595744680851</v>
      </c>
      <c r="L37" s="125">
        <v>4</v>
      </c>
      <c r="M37" s="124">
        <f>L37/E37</f>
        <v>2.8368794326241134E-2</v>
      </c>
      <c r="N37" s="126">
        <v>3</v>
      </c>
      <c r="O37" s="127">
        <f>N37/E37</f>
        <v>2.1276595744680851E-2</v>
      </c>
      <c r="P37" s="125">
        <v>11</v>
      </c>
      <c r="Q37" s="124">
        <f>P37/E37</f>
        <v>7.8014184397163122E-2</v>
      </c>
      <c r="R37" s="126">
        <v>1</v>
      </c>
      <c r="S37" s="127">
        <f>R37/E37</f>
        <v>7.0921985815602835E-3</v>
      </c>
      <c r="U37" s="598">
        <f t="shared" si="3"/>
        <v>1</v>
      </c>
      <c r="X37" s="169" t="e">
        <f>VLOOKUP(B37,#REF!,13,(FALSE))</f>
        <v>#REF!</v>
      </c>
      <c r="Y37" s="169" t="e">
        <f t="shared" si="4"/>
        <v>#REF!</v>
      </c>
    </row>
    <row r="38" spans="2:25" ht="20.5" x14ac:dyDescent="0.25">
      <c r="B38" s="68">
        <v>9257009</v>
      </c>
      <c r="C38" s="166" t="s">
        <v>69</v>
      </c>
      <c r="D38" s="121">
        <v>4</v>
      </c>
      <c r="E38" s="164">
        <v>125</v>
      </c>
      <c r="F38" s="125">
        <v>29</v>
      </c>
      <c r="G38" s="124">
        <f>F38/E38</f>
        <v>0.23200000000000001</v>
      </c>
      <c r="H38" s="125">
        <v>72</v>
      </c>
      <c r="I38" s="124">
        <f>H38/E38</f>
        <v>0.57599999999999996</v>
      </c>
      <c r="J38" s="125">
        <v>10</v>
      </c>
      <c r="K38" s="124">
        <f>J38/E38</f>
        <v>0.08</v>
      </c>
      <c r="L38" s="125">
        <v>3</v>
      </c>
      <c r="M38" s="124">
        <f>L38/E38</f>
        <v>2.4E-2</v>
      </c>
      <c r="N38" s="126">
        <v>1</v>
      </c>
      <c r="O38" s="127">
        <f>N38/E38</f>
        <v>8.0000000000000002E-3</v>
      </c>
      <c r="P38" s="125">
        <v>10</v>
      </c>
      <c r="Q38" s="124">
        <f>P38/E38</f>
        <v>0.08</v>
      </c>
      <c r="R38" s="126">
        <v>0</v>
      </c>
      <c r="S38" s="127">
        <f>R38/E38</f>
        <v>0</v>
      </c>
      <c r="U38" s="598">
        <f t="shared" si="3"/>
        <v>0.99999999999999989</v>
      </c>
      <c r="X38" s="169" t="e">
        <f>VLOOKUP(B38,#REF!,13,(FALSE))</f>
        <v>#REF!</v>
      </c>
      <c r="Y38" s="169" t="e">
        <f t="shared" si="4"/>
        <v>#REF!</v>
      </c>
    </row>
    <row r="39" spans="2:25" ht="20.5" x14ac:dyDescent="0.25">
      <c r="B39" s="68">
        <v>9257029</v>
      </c>
      <c r="C39" s="166" t="s">
        <v>278</v>
      </c>
      <c r="D39" s="121" t="s">
        <v>452</v>
      </c>
      <c r="E39" s="164">
        <f>F39+H39+J39+L39+N39+P39+R39</f>
        <v>0</v>
      </c>
      <c r="F39" s="125">
        <v>0</v>
      </c>
      <c r="G39" s="124">
        <v>0</v>
      </c>
      <c r="H39" s="125">
        <v>0</v>
      </c>
      <c r="I39" s="124">
        <v>0</v>
      </c>
      <c r="J39" s="125">
        <v>0</v>
      </c>
      <c r="K39" s="124">
        <v>1</v>
      </c>
      <c r="L39" s="125">
        <v>0</v>
      </c>
      <c r="M39" s="124">
        <v>0</v>
      </c>
      <c r="N39" s="126">
        <v>0</v>
      </c>
      <c r="O39" s="127">
        <v>0</v>
      </c>
      <c r="P39" s="125">
        <v>0</v>
      </c>
      <c r="Q39" s="124">
        <v>0</v>
      </c>
      <c r="R39" s="126">
        <v>0</v>
      </c>
      <c r="S39" s="127">
        <v>0</v>
      </c>
      <c r="U39" s="598">
        <f t="shared" si="3"/>
        <v>1</v>
      </c>
      <c r="X39" s="169" t="e">
        <f>VLOOKUP(B39,#REF!,13,(FALSE))</f>
        <v>#REF!</v>
      </c>
      <c r="Y39" s="169" t="e">
        <f t="shared" si="4"/>
        <v>#REF!</v>
      </c>
    </row>
    <row r="40" spans="2:25" ht="20.5" x14ac:dyDescent="0.25">
      <c r="B40" s="68">
        <v>9257032</v>
      </c>
      <c r="C40" s="166" t="s">
        <v>266</v>
      </c>
      <c r="D40" s="121" t="s">
        <v>452</v>
      </c>
      <c r="E40" s="164">
        <f>F40+H40+J40+L40+N40+P40+R40</f>
        <v>0</v>
      </c>
      <c r="F40" s="125">
        <v>0</v>
      </c>
      <c r="G40" s="124">
        <v>0</v>
      </c>
      <c r="H40" s="125">
        <v>0</v>
      </c>
      <c r="I40" s="124">
        <v>0</v>
      </c>
      <c r="J40" s="125">
        <v>0</v>
      </c>
      <c r="K40" s="124">
        <v>1</v>
      </c>
      <c r="L40" s="125">
        <v>0</v>
      </c>
      <c r="M40" s="124">
        <v>0</v>
      </c>
      <c r="N40" s="126">
        <v>0</v>
      </c>
      <c r="O40" s="127">
        <v>0</v>
      </c>
      <c r="P40" s="125">
        <v>0</v>
      </c>
      <c r="Q40" s="124">
        <v>0</v>
      </c>
      <c r="R40" s="126">
        <v>0</v>
      </c>
      <c r="S40" s="127">
        <v>0</v>
      </c>
      <c r="U40" s="598">
        <f t="shared" si="3"/>
        <v>1</v>
      </c>
      <c r="X40" s="169" t="e">
        <f>VLOOKUP(B40,#REF!,13,(FALSE))</f>
        <v>#REF!</v>
      </c>
      <c r="Y40" s="169" t="e">
        <f t="shared" si="4"/>
        <v>#REF!</v>
      </c>
    </row>
    <row r="41" spans="2:25" ht="20.5" x14ac:dyDescent="0.25">
      <c r="B41" s="68">
        <v>9257030</v>
      </c>
      <c r="C41" s="166" t="s">
        <v>268</v>
      </c>
      <c r="D41" s="121" t="s">
        <v>452</v>
      </c>
      <c r="E41" s="164">
        <f>F41+H41+J41+L41+N41+P41+R41</f>
        <v>0</v>
      </c>
      <c r="F41" s="123">
        <v>0</v>
      </c>
      <c r="G41" s="124">
        <v>0</v>
      </c>
      <c r="H41" s="125">
        <v>0</v>
      </c>
      <c r="I41" s="124">
        <v>0</v>
      </c>
      <c r="J41" s="125">
        <v>0</v>
      </c>
      <c r="K41" s="124">
        <v>1</v>
      </c>
      <c r="L41" s="125">
        <v>0</v>
      </c>
      <c r="M41" s="124">
        <v>0</v>
      </c>
      <c r="N41" s="126">
        <v>0</v>
      </c>
      <c r="O41" s="127">
        <v>0</v>
      </c>
      <c r="P41" s="125">
        <v>0</v>
      </c>
      <c r="Q41" s="124">
        <v>0</v>
      </c>
      <c r="R41" s="126">
        <v>0</v>
      </c>
      <c r="S41" s="127">
        <v>0</v>
      </c>
      <c r="U41" s="598">
        <f t="shared" si="3"/>
        <v>1</v>
      </c>
      <c r="X41" s="169" t="e">
        <f>VLOOKUP(B41,#REF!,13,(FALSE))</f>
        <v>#REF!</v>
      </c>
      <c r="Y41" s="169" t="e">
        <f t="shared" si="4"/>
        <v>#REF!</v>
      </c>
    </row>
    <row r="42" spans="2:25" ht="20.5" x14ac:dyDescent="0.25">
      <c r="B42" s="68">
        <v>9257028</v>
      </c>
      <c r="C42" s="166" t="s">
        <v>70</v>
      </c>
      <c r="D42" s="121">
        <v>4</v>
      </c>
      <c r="E42" s="164">
        <v>101</v>
      </c>
      <c r="F42" s="125">
        <v>9</v>
      </c>
      <c r="G42" s="124">
        <f>F42/E42</f>
        <v>8.9108910891089105E-2</v>
      </c>
      <c r="H42" s="123">
        <v>41</v>
      </c>
      <c r="I42" s="124">
        <f>H42/E42</f>
        <v>0.40594059405940597</v>
      </c>
      <c r="J42" s="123">
        <v>8</v>
      </c>
      <c r="K42" s="124">
        <f>J42/E42</f>
        <v>7.9207920792079209E-2</v>
      </c>
      <c r="L42" s="123">
        <v>9</v>
      </c>
      <c r="M42" s="124">
        <f>L42/E42</f>
        <v>8.9108910891089105E-2</v>
      </c>
      <c r="N42" s="126">
        <v>13</v>
      </c>
      <c r="O42" s="127">
        <f>N42/E42</f>
        <v>0.12871287128712872</v>
      </c>
      <c r="P42" s="123">
        <v>10</v>
      </c>
      <c r="Q42" s="124">
        <f>P42/E42</f>
        <v>9.9009900990099015E-2</v>
      </c>
      <c r="R42" s="126">
        <v>11</v>
      </c>
      <c r="S42" s="127">
        <f>R42/E42</f>
        <v>0.10891089108910891</v>
      </c>
      <c r="U42" s="598">
        <f t="shared" si="3"/>
        <v>0.99999999999999989</v>
      </c>
      <c r="X42" s="169" t="e">
        <f>VLOOKUP(B42,#REF!,13,(FALSE))</f>
        <v>#REF!</v>
      </c>
      <c r="Y42" s="169" t="e">
        <f t="shared" si="4"/>
        <v>#REF!</v>
      </c>
    </row>
    <row r="43" spans="2:25" ht="30.5" x14ac:dyDescent="0.25">
      <c r="B43" s="68">
        <v>9257021</v>
      </c>
      <c r="C43" s="166" t="s">
        <v>71</v>
      </c>
      <c r="D43" s="121" t="s">
        <v>453</v>
      </c>
      <c r="E43" s="164">
        <v>164</v>
      </c>
      <c r="F43" s="125">
        <v>44</v>
      </c>
      <c r="G43" s="124">
        <f>F43/E43</f>
        <v>0.26829268292682928</v>
      </c>
      <c r="H43" s="125">
        <v>70</v>
      </c>
      <c r="I43" s="124">
        <f>H43/E43</f>
        <v>0.42682926829268292</v>
      </c>
      <c r="J43" s="125">
        <v>13</v>
      </c>
      <c r="K43" s="124">
        <f>J43/E43</f>
        <v>7.926829268292683E-2</v>
      </c>
      <c r="L43" s="125">
        <v>11</v>
      </c>
      <c r="M43" s="124">
        <f>L43/E43</f>
        <v>6.7073170731707321E-2</v>
      </c>
      <c r="N43" s="126">
        <v>9</v>
      </c>
      <c r="O43" s="127">
        <f>N43/E43</f>
        <v>5.4878048780487805E-2</v>
      </c>
      <c r="P43" s="125">
        <v>15</v>
      </c>
      <c r="Q43" s="124">
        <f>P43/E43</f>
        <v>9.1463414634146339E-2</v>
      </c>
      <c r="R43" s="126">
        <v>2</v>
      </c>
      <c r="S43" s="127">
        <f>R43/E43</f>
        <v>1.2195121951219513E-2</v>
      </c>
      <c r="U43" s="598">
        <f t="shared" si="3"/>
        <v>0.99999999999999989</v>
      </c>
      <c r="X43" s="169" t="e">
        <f>VLOOKUP(B43,#REF!,13,(FALSE))</f>
        <v>#REF!</v>
      </c>
      <c r="Y43" s="169" t="e">
        <f t="shared" si="4"/>
        <v>#REF!</v>
      </c>
    </row>
    <row r="44" spans="2:25" ht="30.5" x14ac:dyDescent="0.25">
      <c r="B44" s="68">
        <v>9257015</v>
      </c>
      <c r="C44" s="166" t="s">
        <v>72</v>
      </c>
      <c r="D44" s="121" t="s">
        <v>454</v>
      </c>
      <c r="E44" s="164">
        <v>226</v>
      </c>
      <c r="F44" s="125">
        <v>75</v>
      </c>
      <c r="G44" s="124">
        <f>F44/E44</f>
        <v>0.33185840707964603</v>
      </c>
      <c r="H44" s="125">
        <v>87</v>
      </c>
      <c r="I44" s="124">
        <f>H44/E44</f>
        <v>0.38495575221238937</v>
      </c>
      <c r="J44" s="125">
        <v>4</v>
      </c>
      <c r="K44" s="124">
        <f>J44/E44</f>
        <v>1.7699115044247787E-2</v>
      </c>
      <c r="L44" s="125">
        <v>20</v>
      </c>
      <c r="M44" s="124">
        <f>L44/E44</f>
        <v>8.8495575221238937E-2</v>
      </c>
      <c r="N44" s="126">
        <v>5</v>
      </c>
      <c r="O44" s="127">
        <f>N44/E44</f>
        <v>2.2123893805309734E-2</v>
      </c>
      <c r="P44" s="125">
        <v>32</v>
      </c>
      <c r="Q44" s="124">
        <f>P44/E44</f>
        <v>0.1415929203539823</v>
      </c>
      <c r="R44" s="126">
        <v>3</v>
      </c>
      <c r="S44" s="127">
        <f>R44/E44</f>
        <v>1.3274336283185841E-2</v>
      </c>
      <c r="U44" s="598">
        <f t="shared" si="3"/>
        <v>1</v>
      </c>
      <c r="X44" s="169" t="e">
        <f>VLOOKUP(B44,#REF!,13,(FALSE))</f>
        <v>#REF!</v>
      </c>
      <c r="Y44" s="169" t="e">
        <f t="shared" si="4"/>
        <v>#REF!</v>
      </c>
    </row>
    <row r="45" spans="2:25" ht="20.5" x14ac:dyDescent="0.25">
      <c r="B45" s="68">
        <v>9257016</v>
      </c>
      <c r="C45" s="166" t="s">
        <v>73</v>
      </c>
      <c r="D45" s="121" t="s">
        <v>454</v>
      </c>
      <c r="E45" s="164">
        <v>161</v>
      </c>
      <c r="F45" s="125">
        <v>29</v>
      </c>
      <c r="G45" s="124">
        <f>F45/E45</f>
        <v>0.18012422360248448</v>
      </c>
      <c r="H45" s="125">
        <v>25</v>
      </c>
      <c r="I45" s="124">
        <f>H45/E45</f>
        <v>0.15527950310559005</v>
      </c>
      <c r="J45" s="125">
        <v>1</v>
      </c>
      <c r="K45" s="124">
        <f>J45/E45</f>
        <v>6.2111801242236021E-3</v>
      </c>
      <c r="L45" s="125">
        <v>36</v>
      </c>
      <c r="M45" s="124">
        <f>L45/E45</f>
        <v>0.2236024844720497</v>
      </c>
      <c r="N45" s="126">
        <v>34</v>
      </c>
      <c r="O45" s="127">
        <f>N45/E45</f>
        <v>0.21118012422360249</v>
      </c>
      <c r="P45" s="125">
        <v>2</v>
      </c>
      <c r="Q45" s="124">
        <f>P45/E45</f>
        <v>1.2422360248447204E-2</v>
      </c>
      <c r="R45" s="126">
        <v>34</v>
      </c>
      <c r="S45" s="127">
        <f>R45/E45</f>
        <v>0.21118012422360249</v>
      </c>
      <c r="U45" s="598">
        <f t="shared" si="3"/>
        <v>1</v>
      </c>
      <c r="X45" s="169" t="e">
        <f>VLOOKUP(B45,#REF!,13,(FALSE))</f>
        <v>#REF!</v>
      </c>
      <c r="Y45" s="169" t="e">
        <f t="shared" si="4"/>
        <v>#REF!</v>
      </c>
    </row>
    <row r="47" spans="2:25" ht="13" x14ac:dyDescent="0.3">
      <c r="E47" s="599">
        <f>SUM(E28:E46)</f>
        <v>1567</v>
      </c>
      <c r="F47" s="130">
        <f>SUM(F28:F46)</f>
        <v>331</v>
      </c>
      <c r="G47" s="101"/>
      <c r="H47" s="130">
        <f>SUM(H28:H46)</f>
        <v>627</v>
      </c>
      <c r="I47" s="101"/>
      <c r="J47" s="130">
        <f>SUM(J28:J46)</f>
        <v>98</v>
      </c>
      <c r="K47" s="101"/>
      <c r="L47" s="130">
        <f>SUM(L28:L46)</f>
        <v>168</v>
      </c>
      <c r="M47" s="101"/>
      <c r="N47" s="130">
        <f>SUM(N28:N46)</f>
        <v>106</v>
      </c>
      <c r="O47" s="101"/>
      <c r="P47" s="130">
        <f>SUM(P28:P46)</f>
        <v>151</v>
      </c>
      <c r="Q47" s="101"/>
      <c r="R47" s="130">
        <f>SUM(R28:R46)</f>
        <v>86</v>
      </c>
    </row>
    <row r="48" spans="2:25" x14ac:dyDescent="0.25">
      <c r="E48" s="169" t="e">
        <f>E47+X33+X39+X40+X41</f>
        <v>#REF!</v>
      </c>
      <c r="F48" s="169">
        <f>F47</f>
        <v>331</v>
      </c>
      <c r="G48" s="611"/>
      <c r="H48" s="169">
        <f>H47</f>
        <v>627</v>
      </c>
      <c r="J48" s="169" t="e">
        <f>J47+X33+X39+X40+X41</f>
        <v>#REF!</v>
      </c>
      <c r="L48" s="169">
        <f>L47</f>
        <v>168</v>
      </c>
      <c r="N48" s="169">
        <f>N47</f>
        <v>106</v>
      </c>
      <c r="P48" s="169">
        <f>P47</f>
        <v>151</v>
      </c>
      <c r="R48" s="169">
        <f>R47</f>
        <v>86</v>
      </c>
    </row>
    <row r="49" spans="2:19" ht="13" x14ac:dyDescent="0.3">
      <c r="B49" s="167" t="s">
        <v>744</v>
      </c>
      <c r="C49" s="109"/>
      <c r="D49" s="109"/>
      <c r="E49" s="109"/>
      <c r="F49" s="609" t="e">
        <f>F48/$E$48</f>
        <v>#REF!</v>
      </c>
      <c r="G49" s="609"/>
      <c r="H49" s="609" t="e">
        <f>H48/$E$48</f>
        <v>#REF!</v>
      </c>
      <c r="I49" s="609"/>
      <c r="J49" s="609" t="e">
        <f>J48/$E$48</f>
        <v>#REF!</v>
      </c>
      <c r="K49" s="609"/>
      <c r="L49" s="609" t="e">
        <f>L48/$E$48</f>
        <v>#REF!</v>
      </c>
      <c r="M49" s="609"/>
      <c r="N49" s="609" t="e">
        <f>N48/$E$48</f>
        <v>#REF!</v>
      </c>
      <c r="O49" s="609"/>
      <c r="P49" s="609" t="e">
        <f>P48/$E$48</f>
        <v>#REF!</v>
      </c>
      <c r="Q49" s="609"/>
      <c r="R49" s="609" t="e">
        <f>R48/$E$48</f>
        <v>#REF!</v>
      </c>
      <c r="S49" s="109"/>
    </row>
    <row r="50" spans="2:19" x14ac:dyDescent="0.25">
      <c r="B50" s="109"/>
      <c r="C50" s="109"/>
      <c r="D50" s="109"/>
      <c r="E50" s="109"/>
      <c r="F50" s="637"/>
      <c r="G50" s="109"/>
      <c r="H50" s="637"/>
      <c r="I50" s="109"/>
      <c r="J50" s="637"/>
      <c r="K50" s="109"/>
      <c r="L50" s="109"/>
      <c r="M50" s="109"/>
      <c r="N50" s="109"/>
      <c r="O50" s="109"/>
      <c r="P50" s="109"/>
      <c r="Q50" s="109"/>
      <c r="R50" s="109"/>
      <c r="S50" s="109"/>
    </row>
    <row r="51" spans="2:19" ht="31.5" x14ac:dyDescent="0.25">
      <c r="B51" s="109"/>
      <c r="C51" s="113" t="s">
        <v>49</v>
      </c>
      <c r="D51" s="114" t="s">
        <v>50</v>
      </c>
      <c r="E51" s="115" t="s">
        <v>257</v>
      </c>
      <c r="F51" s="116" t="s">
        <v>229</v>
      </c>
      <c r="G51" s="117" t="s">
        <v>280</v>
      </c>
      <c r="H51" s="116" t="s">
        <v>230</v>
      </c>
      <c r="I51" s="117" t="s">
        <v>290</v>
      </c>
      <c r="J51" s="116" t="s">
        <v>231</v>
      </c>
      <c r="K51" s="117" t="s">
        <v>291</v>
      </c>
      <c r="L51" s="116" t="s">
        <v>232</v>
      </c>
      <c r="M51" s="117" t="s">
        <v>292</v>
      </c>
      <c r="N51" s="118" t="s">
        <v>233</v>
      </c>
      <c r="O51" s="119" t="s">
        <v>293</v>
      </c>
      <c r="P51" s="116" t="s">
        <v>234</v>
      </c>
      <c r="Q51" s="117" t="s">
        <v>294</v>
      </c>
      <c r="R51" s="118" t="s">
        <v>235</v>
      </c>
      <c r="S51" s="119" t="s">
        <v>295</v>
      </c>
    </row>
    <row r="52" spans="2:19" ht="20.5" x14ac:dyDescent="0.25">
      <c r="B52" s="109"/>
      <c r="C52" s="120" t="s">
        <v>60</v>
      </c>
      <c r="D52" s="121">
        <v>3</v>
      </c>
      <c r="E52" s="122">
        <f t="shared" ref="E52:S52" si="5">E5-E28</f>
        <v>35</v>
      </c>
      <c r="F52" s="133">
        <f t="shared" si="5"/>
        <v>5</v>
      </c>
      <c r="G52" s="132">
        <f t="shared" si="5"/>
        <v>4.5351473922902494E-2</v>
      </c>
      <c r="H52" s="133">
        <f t="shared" si="5"/>
        <v>22</v>
      </c>
      <c r="I52" s="132">
        <f t="shared" si="5"/>
        <v>0.1111111111111111</v>
      </c>
      <c r="J52" s="133">
        <f t="shared" si="5"/>
        <v>1</v>
      </c>
      <c r="K52" s="132">
        <f t="shared" si="5"/>
        <v>-2.3809523809523808E-2</v>
      </c>
      <c r="L52" s="133">
        <f t="shared" si="5"/>
        <v>2</v>
      </c>
      <c r="M52" s="132">
        <f t="shared" si="5"/>
        <v>-4.1950113378684789E-2</v>
      </c>
      <c r="N52" s="133">
        <f t="shared" si="5"/>
        <v>4</v>
      </c>
      <c r="O52" s="132">
        <f t="shared" si="5"/>
        <v>1.8140589569160995E-2</v>
      </c>
      <c r="P52" s="133">
        <f t="shared" si="5"/>
        <v>-1</v>
      </c>
      <c r="Q52" s="132">
        <f t="shared" si="5"/>
        <v>-7.8231292517006792E-2</v>
      </c>
      <c r="R52" s="133">
        <f t="shared" si="5"/>
        <v>2</v>
      </c>
      <c r="S52" s="132">
        <f t="shared" si="5"/>
        <v>-3.0612244897959176E-2</v>
      </c>
    </row>
    <row r="53" spans="2:19" ht="20.5" x14ac:dyDescent="0.25">
      <c r="B53" s="109"/>
      <c r="C53" s="120" t="s">
        <v>63</v>
      </c>
      <c r="D53" s="121">
        <v>3</v>
      </c>
      <c r="E53" s="122">
        <f t="shared" ref="E53:S53" si="6">E6-E29</f>
        <v>6</v>
      </c>
      <c r="F53" s="133">
        <f t="shared" si="6"/>
        <v>1</v>
      </c>
      <c r="G53" s="132">
        <f t="shared" si="6"/>
        <v>8.1395348837209267E-3</v>
      </c>
      <c r="H53" s="133">
        <f t="shared" si="6"/>
        <v>1</v>
      </c>
      <c r="I53" s="132">
        <f t="shared" si="6"/>
        <v>-1.6279069767441867E-2</v>
      </c>
      <c r="J53" s="133">
        <f t="shared" si="6"/>
        <v>3</v>
      </c>
      <c r="K53" s="132">
        <f t="shared" si="6"/>
        <v>3.0523255813953487E-2</v>
      </c>
      <c r="L53" s="133">
        <f t="shared" si="6"/>
        <v>0</v>
      </c>
      <c r="M53" s="132">
        <f t="shared" si="6"/>
        <v>-1.0465116279069764E-2</v>
      </c>
      <c r="N53" s="133">
        <f t="shared" si="6"/>
        <v>0</v>
      </c>
      <c r="O53" s="132">
        <f t="shared" si="6"/>
        <v>-8.7209302325581411E-3</v>
      </c>
      <c r="P53" s="133">
        <f t="shared" si="6"/>
        <v>1</v>
      </c>
      <c r="Q53" s="132">
        <f t="shared" si="6"/>
        <v>1.1627906976744151E-3</v>
      </c>
      <c r="R53" s="133">
        <f t="shared" si="6"/>
        <v>0</v>
      </c>
      <c r="S53" s="132">
        <f t="shared" si="6"/>
        <v>-4.3604651162790706E-3</v>
      </c>
    </row>
    <row r="54" spans="2:19" ht="20.5" x14ac:dyDescent="0.25">
      <c r="B54" s="109"/>
      <c r="C54" s="120" t="s">
        <v>64</v>
      </c>
      <c r="D54" s="121">
        <v>3</v>
      </c>
      <c r="E54" s="122">
        <f t="shared" ref="E54:S54" si="7">E7-E30</f>
        <v>2</v>
      </c>
      <c r="F54" s="133">
        <f t="shared" si="7"/>
        <v>-1</v>
      </c>
      <c r="G54" s="132">
        <f t="shared" si="7"/>
        <v>-1.6603649515041924E-2</v>
      </c>
      <c r="H54" s="133">
        <f t="shared" si="7"/>
        <v>6</v>
      </c>
      <c r="I54" s="132">
        <f t="shared" si="7"/>
        <v>6.5757027782344213E-2</v>
      </c>
      <c r="J54" s="133">
        <f t="shared" si="7"/>
        <v>0</v>
      </c>
      <c r="K54" s="132">
        <f t="shared" si="7"/>
        <v>-9.8635541673516153E-4</v>
      </c>
      <c r="L54" s="133">
        <f t="shared" si="7"/>
        <v>-3</v>
      </c>
      <c r="M54" s="132">
        <f t="shared" si="7"/>
        <v>-4.1920105211244452E-2</v>
      </c>
      <c r="N54" s="133">
        <f t="shared" si="7"/>
        <v>-1</v>
      </c>
      <c r="O54" s="132">
        <f t="shared" si="7"/>
        <v>-1.3973368403748153E-2</v>
      </c>
      <c r="P54" s="133">
        <f t="shared" si="7"/>
        <v>1</v>
      </c>
      <c r="Q54" s="132">
        <f t="shared" si="7"/>
        <v>9.0415913200723452E-3</v>
      </c>
      <c r="R54" s="133">
        <f t="shared" si="7"/>
        <v>0</v>
      </c>
      <c r="S54" s="132">
        <f t="shared" si="7"/>
        <v>-1.315140555646889E-3</v>
      </c>
    </row>
    <row r="55" spans="2:19" ht="20.5" x14ac:dyDescent="0.25">
      <c r="B55" s="109"/>
      <c r="C55" s="120" t="s">
        <v>65</v>
      </c>
      <c r="D55" s="121">
        <v>3</v>
      </c>
      <c r="E55" s="122" t="e">
        <f>#REF!-E31</f>
        <v>#REF!</v>
      </c>
      <c r="F55" s="133" t="e">
        <f>#REF!-F31</f>
        <v>#REF!</v>
      </c>
      <c r="G55" s="132" t="e">
        <f>#REF!-G31</f>
        <v>#REF!</v>
      </c>
      <c r="H55" s="133" t="e">
        <f>#REF!-H31</f>
        <v>#REF!</v>
      </c>
      <c r="I55" s="132" t="e">
        <f>#REF!-I31</f>
        <v>#REF!</v>
      </c>
      <c r="J55" s="133" t="e">
        <f>#REF!-J31</f>
        <v>#REF!</v>
      </c>
      <c r="K55" s="132" t="e">
        <f>#REF!-K31</f>
        <v>#REF!</v>
      </c>
      <c r="L55" s="133" t="e">
        <f>#REF!-L31</f>
        <v>#REF!</v>
      </c>
      <c r="M55" s="132" t="e">
        <f>#REF!-M31</f>
        <v>#REF!</v>
      </c>
      <c r="N55" s="133" t="e">
        <f>#REF!-N31</f>
        <v>#REF!</v>
      </c>
      <c r="O55" s="132" t="e">
        <f>#REF!-O31</f>
        <v>#REF!</v>
      </c>
      <c r="P55" s="133" t="e">
        <f>#REF!-P31</f>
        <v>#REF!</v>
      </c>
      <c r="Q55" s="132" t="e">
        <f>#REF!-Q31</f>
        <v>#REF!</v>
      </c>
      <c r="R55" s="133" t="e">
        <f>#REF!-R31</f>
        <v>#REF!</v>
      </c>
      <c r="S55" s="132" t="e">
        <f>#REF!-S31</f>
        <v>#REF!</v>
      </c>
    </row>
    <row r="56" spans="2:19" ht="20.5" x14ac:dyDescent="0.25">
      <c r="B56" s="109"/>
      <c r="C56" s="120" t="s">
        <v>66</v>
      </c>
      <c r="D56" s="121">
        <v>3</v>
      </c>
      <c r="E56" s="122">
        <f t="shared" ref="E56:E69" si="8">E8-E32</f>
        <v>1</v>
      </c>
      <c r="F56" s="133">
        <f t="shared" ref="F56:G69" si="9">F8-F32</f>
        <v>-1</v>
      </c>
      <c r="G56" s="132">
        <f t="shared" si="9"/>
        <v>-1.2908777969018931E-2</v>
      </c>
      <c r="H56" s="133">
        <f t="shared" ref="H56:I69" si="10">H8-H32</f>
        <v>5</v>
      </c>
      <c r="I56" s="132">
        <f t="shared" si="10"/>
        <v>5.4073436603557068E-2</v>
      </c>
      <c r="J56" s="133">
        <f t="shared" ref="J56:K69" si="11">J8-J32</f>
        <v>1</v>
      </c>
      <c r="K56" s="132">
        <f t="shared" si="11"/>
        <v>1.176133103843947E-2</v>
      </c>
      <c r="L56" s="133">
        <f t="shared" ref="L56:M69" si="12">L8-L32</f>
        <v>0</v>
      </c>
      <c r="M56" s="132">
        <f t="shared" si="12"/>
        <v>-2.1514629948364838E-3</v>
      </c>
      <c r="N56" s="133">
        <f t="shared" ref="N56:O69" si="13">N8-N32</f>
        <v>0</v>
      </c>
      <c r="O56" s="132">
        <f t="shared" si="13"/>
        <v>-1.0040160642570267E-3</v>
      </c>
      <c r="P56" s="133">
        <f t="shared" ref="P56:Q69" si="14">P8-P32</f>
        <v>0</v>
      </c>
      <c r="Q56" s="132">
        <f t="shared" si="14"/>
        <v>-8.6058519793459631E-4</v>
      </c>
      <c r="R56" s="133">
        <f t="shared" ref="R56:S69" si="15">R8-R32</f>
        <v>-4</v>
      </c>
      <c r="S56" s="132">
        <f t="shared" si="15"/>
        <v>-4.8909925415949518E-2</v>
      </c>
    </row>
    <row r="57" spans="2:19" ht="20.5" x14ac:dyDescent="0.25">
      <c r="B57" s="109"/>
      <c r="C57" s="120" t="s">
        <v>84</v>
      </c>
      <c r="D57" s="121">
        <v>3</v>
      </c>
      <c r="E57" s="122">
        <f t="shared" si="8"/>
        <v>0</v>
      </c>
      <c r="F57" s="133">
        <f t="shared" si="9"/>
        <v>0</v>
      </c>
      <c r="G57" s="132">
        <f t="shared" si="9"/>
        <v>0</v>
      </c>
      <c r="H57" s="133">
        <f t="shared" si="10"/>
        <v>0</v>
      </c>
      <c r="I57" s="132">
        <f t="shared" si="10"/>
        <v>0</v>
      </c>
      <c r="J57" s="133">
        <f t="shared" si="11"/>
        <v>0</v>
      </c>
      <c r="K57" s="132">
        <f t="shared" si="11"/>
        <v>0</v>
      </c>
      <c r="L57" s="133">
        <f t="shared" si="12"/>
        <v>0</v>
      </c>
      <c r="M57" s="132">
        <f t="shared" si="12"/>
        <v>0</v>
      </c>
      <c r="N57" s="133">
        <f t="shared" si="13"/>
        <v>0</v>
      </c>
      <c r="O57" s="132">
        <f t="shared" si="13"/>
        <v>0</v>
      </c>
      <c r="P57" s="133">
        <f t="shared" si="14"/>
        <v>0</v>
      </c>
      <c r="Q57" s="132">
        <f t="shared" si="14"/>
        <v>0</v>
      </c>
      <c r="R57" s="133">
        <f t="shared" si="15"/>
        <v>0</v>
      </c>
      <c r="S57" s="132">
        <f t="shared" si="15"/>
        <v>0</v>
      </c>
    </row>
    <row r="58" spans="2:19" ht="30.5" x14ac:dyDescent="0.25">
      <c r="B58" s="109"/>
      <c r="C58" s="120" t="s">
        <v>74</v>
      </c>
      <c r="D58" s="121">
        <v>3</v>
      </c>
      <c r="E58" s="122">
        <f t="shared" si="8"/>
        <v>13</v>
      </c>
      <c r="F58" s="133">
        <f t="shared" si="9"/>
        <v>-1</v>
      </c>
      <c r="G58" s="132">
        <f t="shared" si="9"/>
        <v>-2.9532163742690049E-2</v>
      </c>
      <c r="H58" s="133">
        <f t="shared" si="10"/>
        <v>17</v>
      </c>
      <c r="I58" s="132">
        <f t="shared" si="10"/>
        <v>9.2787524366471752E-2</v>
      </c>
      <c r="J58" s="133">
        <f t="shared" si="11"/>
        <v>-1</v>
      </c>
      <c r="K58" s="132">
        <f t="shared" si="11"/>
        <v>-1.6861598440545814E-2</v>
      </c>
      <c r="L58" s="133">
        <f t="shared" si="12"/>
        <v>-3</v>
      </c>
      <c r="M58" s="132">
        <f t="shared" si="12"/>
        <v>-4.5516569200779719E-2</v>
      </c>
      <c r="N58" s="133">
        <f t="shared" si="13"/>
        <v>0</v>
      </c>
      <c r="O58" s="132">
        <f t="shared" si="13"/>
        <v>-5.0682261208577009E-3</v>
      </c>
      <c r="P58" s="133">
        <f t="shared" si="14"/>
        <v>0</v>
      </c>
      <c r="Q58" s="132">
        <f t="shared" si="14"/>
        <v>-5.0682261208577009E-3</v>
      </c>
      <c r="R58" s="133">
        <f t="shared" si="15"/>
        <v>1</v>
      </c>
      <c r="S58" s="132">
        <f t="shared" si="15"/>
        <v>9.2592592592592587E-3</v>
      </c>
    </row>
    <row r="59" spans="2:19" ht="20.5" x14ac:dyDescent="0.25">
      <c r="B59" s="109"/>
      <c r="C59" s="120" t="s">
        <v>67</v>
      </c>
      <c r="D59" s="121">
        <v>3</v>
      </c>
      <c r="E59" s="122">
        <f t="shared" si="8"/>
        <v>1</v>
      </c>
      <c r="F59" s="133">
        <f t="shared" si="9"/>
        <v>1</v>
      </c>
      <c r="G59" s="132">
        <f t="shared" si="9"/>
        <v>8.9898989898989923E-3</v>
      </c>
      <c r="H59" s="133">
        <f t="shared" si="10"/>
        <v>6</v>
      </c>
      <c r="I59" s="132">
        <f t="shared" si="10"/>
        <v>5.4141414141414157E-2</v>
      </c>
      <c r="J59" s="133">
        <f t="shared" si="11"/>
        <v>-1</v>
      </c>
      <c r="K59" s="132">
        <f t="shared" si="11"/>
        <v>-1.0808080808080808E-2</v>
      </c>
      <c r="L59" s="133">
        <f t="shared" si="12"/>
        <v>0</v>
      </c>
      <c r="M59" s="132">
        <f t="shared" si="12"/>
        <v>-9.0909090909091494E-4</v>
      </c>
      <c r="N59" s="133">
        <f t="shared" si="13"/>
        <v>-1</v>
      </c>
      <c r="O59" s="132">
        <f t="shared" si="13"/>
        <v>-1.0101010101010102E-2</v>
      </c>
      <c r="P59" s="133">
        <f t="shared" si="14"/>
        <v>-3</v>
      </c>
      <c r="Q59" s="132">
        <f t="shared" si="14"/>
        <v>-3.1212121212121219E-2</v>
      </c>
      <c r="R59" s="133">
        <f t="shared" si="15"/>
        <v>-1</v>
      </c>
      <c r="S59" s="132">
        <f t="shared" si="15"/>
        <v>-1.0101010101010102E-2</v>
      </c>
    </row>
    <row r="60" spans="2:19" ht="20.5" x14ac:dyDescent="0.25">
      <c r="B60" s="109"/>
      <c r="C60" s="120" t="s">
        <v>75</v>
      </c>
      <c r="D60" s="121">
        <v>4</v>
      </c>
      <c r="E60" s="122">
        <f t="shared" si="8"/>
        <v>9</v>
      </c>
      <c r="F60" s="133">
        <f t="shared" si="9"/>
        <v>6</v>
      </c>
      <c r="G60" s="132">
        <f t="shared" si="9"/>
        <v>2.0202020202020166E-2</v>
      </c>
      <c r="H60" s="133">
        <f t="shared" si="10"/>
        <v>6</v>
      </c>
      <c r="I60" s="132">
        <f t="shared" si="10"/>
        <v>3.1144781144781142E-2</v>
      </c>
      <c r="J60" s="133">
        <f t="shared" si="11"/>
        <v>-4</v>
      </c>
      <c r="K60" s="132">
        <f t="shared" si="11"/>
        <v>-4.8821548821548821E-2</v>
      </c>
      <c r="L60" s="133">
        <f t="shared" si="12"/>
        <v>2</v>
      </c>
      <c r="M60" s="132">
        <f t="shared" si="12"/>
        <v>1.599326599326599E-2</v>
      </c>
      <c r="N60" s="133">
        <f t="shared" si="13"/>
        <v>-1</v>
      </c>
      <c r="O60" s="132">
        <f t="shared" si="13"/>
        <v>-1.2626262626262631E-2</v>
      </c>
      <c r="P60" s="133">
        <f t="shared" si="14"/>
        <v>0</v>
      </c>
      <c r="Q60" s="132">
        <f t="shared" si="14"/>
        <v>-5.0505050505050553E-3</v>
      </c>
      <c r="R60" s="133">
        <f t="shared" si="15"/>
        <v>0</v>
      </c>
      <c r="S60" s="132">
        <f t="shared" si="15"/>
        <v>-8.4175084175084312E-4</v>
      </c>
    </row>
    <row r="61" spans="2:19" ht="20.5" x14ac:dyDescent="0.25">
      <c r="B61" s="109"/>
      <c r="C61" s="120" t="s">
        <v>68</v>
      </c>
      <c r="D61" s="121">
        <v>4</v>
      </c>
      <c r="E61" s="122">
        <f t="shared" si="8"/>
        <v>8</v>
      </c>
      <c r="F61" s="133">
        <f t="shared" si="9"/>
        <v>0</v>
      </c>
      <c r="G61" s="132">
        <f t="shared" si="9"/>
        <v>-1.9039459279356463E-2</v>
      </c>
      <c r="H61" s="133">
        <f t="shared" si="10"/>
        <v>4</v>
      </c>
      <c r="I61" s="132">
        <f t="shared" si="10"/>
        <v>6.2830215621876295E-3</v>
      </c>
      <c r="J61" s="133">
        <f t="shared" si="11"/>
        <v>2</v>
      </c>
      <c r="K61" s="132">
        <f t="shared" si="11"/>
        <v>6.5686134513779915E-3</v>
      </c>
      <c r="L61" s="133">
        <f t="shared" si="12"/>
        <v>1</v>
      </c>
      <c r="M61" s="132">
        <f t="shared" si="12"/>
        <v>5.1882526536246379E-3</v>
      </c>
      <c r="N61" s="133">
        <f t="shared" si="13"/>
        <v>0</v>
      </c>
      <c r="O61" s="132">
        <f t="shared" si="13"/>
        <v>-1.1423675567613888E-3</v>
      </c>
      <c r="P61" s="133">
        <f t="shared" si="14"/>
        <v>0</v>
      </c>
      <c r="Q61" s="132">
        <f t="shared" si="14"/>
        <v>-4.1886810414584197E-3</v>
      </c>
      <c r="R61" s="133">
        <f t="shared" si="15"/>
        <v>1</v>
      </c>
      <c r="S61" s="132">
        <f t="shared" si="15"/>
        <v>6.3306202103860249E-3</v>
      </c>
    </row>
    <row r="62" spans="2:19" ht="20.5" x14ac:dyDescent="0.25">
      <c r="B62" s="109"/>
      <c r="C62" s="120" t="s">
        <v>69</v>
      </c>
      <c r="D62" s="121">
        <v>4</v>
      </c>
      <c r="E62" s="122">
        <f t="shared" si="8"/>
        <v>61</v>
      </c>
      <c r="F62" s="133">
        <f t="shared" si="9"/>
        <v>2</v>
      </c>
      <c r="G62" s="132">
        <f t="shared" si="9"/>
        <v>-6.4718736005373978E-2</v>
      </c>
      <c r="H62" s="133">
        <f t="shared" si="10"/>
        <v>27</v>
      </c>
      <c r="I62" s="132">
        <f t="shared" si="10"/>
        <v>-4.2888263293991757E-2</v>
      </c>
      <c r="J62" s="133">
        <f t="shared" si="11"/>
        <v>1</v>
      </c>
      <c r="K62" s="132">
        <f t="shared" si="11"/>
        <v>-2.0488191244239631E-2</v>
      </c>
      <c r="L62" s="133">
        <f t="shared" si="12"/>
        <v>11</v>
      </c>
      <c r="M62" s="132">
        <f t="shared" si="12"/>
        <v>5.0766176884850404E-2</v>
      </c>
      <c r="N62" s="133">
        <f t="shared" si="13"/>
        <v>6</v>
      </c>
      <c r="O62" s="132">
        <f t="shared" si="13"/>
        <v>2.9220400914435951E-2</v>
      </c>
      <c r="P62" s="133">
        <f t="shared" si="14"/>
        <v>5</v>
      </c>
      <c r="Q62" s="132">
        <f t="shared" si="14"/>
        <v>3.9325802117794184E-4</v>
      </c>
      <c r="R62" s="133">
        <f t="shared" si="15"/>
        <v>9</v>
      </c>
      <c r="S62" s="132">
        <f t="shared" si="15"/>
        <v>4.7715354723141153E-2</v>
      </c>
    </row>
    <row r="63" spans="2:19" ht="20.5" x14ac:dyDescent="0.25">
      <c r="B63" s="109"/>
      <c r="C63" s="120" t="s">
        <v>85</v>
      </c>
      <c r="D63" s="121">
        <v>4</v>
      </c>
      <c r="E63" s="122">
        <f t="shared" si="8"/>
        <v>0</v>
      </c>
      <c r="F63" s="133">
        <f t="shared" si="9"/>
        <v>0</v>
      </c>
      <c r="G63" s="132">
        <f t="shared" si="9"/>
        <v>0</v>
      </c>
      <c r="H63" s="133">
        <f t="shared" si="10"/>
        <v>0</v>
      </c>
      <c r="I63" s="132">
        <f t="shared" si="10"/>
        <v>0</v>
      </c>
      <c r="J63" s="133">
        <f t="shared" si="11"/>
        <v>0</v>
      </c>
      <c r="K63" s="132">
        <f t="shared" si="11"/>
        <v>0</v>
      </c>
      <c r="L63" s="133">
        <f t="shared" si="12"/>
        <v>0</v>
      </c>
      <c r="M63" s="132">
        <f t="shared" si="12"/>
        <v>0</v>
      </c>
      <c r="N63" s="133">
        <f t="shared" si="13"/>
        <v>0</v>
      </c>
      <c r="O63" s="132">
        <f t="shared" si="13"/>
        <v>0</v>
      </c>
      <c r="P63" s="133">
        <f t="shared" si="14"/>
        <v>0</v>
      </c>
      <c r="Q63" s="132">
        <f t="shared" si="14"/>
        <v>0</v>
      </c>
      <c r="R63" s="133">
        <f t="shared" si="15"/>
        <v>0</v>
      </c>
      <c r="S63" s="132">
        <f t="shared" si="15"/>
        <v>0</v>
      </c>
    </row>
    <row r="64" spans="2:19" ht="40.5" x14ac:dyDescent="0.25">
      <c r="B64" s="109"/>
      <c r="C64" s="120" t="s">
        <v>86</v>
      </c>
      <c r="D64" s="121">
        <v>4</v>
      </c>
      <c r="E64" s="122">
        <f t="shared" si="8"/>
        <v>0</v>
      </c>
      <c r="F64" s="133">
        <f t="shared" si="9"/>
        <v>0</v>
      </c>
      <c r="G64" s="132">
        <f t="shared" si="9"/>
        <v>0</v>
      </c>
      <c r="H64" s="133">
        <f t="shared" si="10"/>
        <v>0</v>
      </c>
      <c r="I64" s="132">
        <f t="shared" si="10"/>
        <v>0</v>
      </c>
      <c r="J64" s="133">
        <f t="shared" si="11"/>
        <v>0</v>
      </c>
      <c r="K64" s="132">
        <f t="shared" si="11"/>
        <v>0</v>
      </c>
      <c r="L64" s="133">
        <f t="shared" si="12"/>
        <v>0</v>
      </c>
      <c r="M64" s="132">
        <f t="shared" si="12"/>
        <v>0</v>
      </c>
      <c r="N64" s="133">
        <f t="shared" si="13"/>
        <v>0</v>
      </c>
      <c r="O64" s="132">
        <f t="shared" si="13"/>
        <v>0</v>
      </c>
      <c r="P64" s="133">
        <f t="shared" si="14"/>
        <v>0</v>
      </c>
      <c r="Q64" s="132">
        <f t="shared" si="14"/>
        <v>0</v>
      </c>
      <c r="R64" s="133">
        <f t="shared" si="15"/>
        <v>0</v>
      </c>
      <c r="S64" s="132">
        <f t="shared" si="15"/>
        <v>0</v>
      </c>
    </row>
    <row r="65" spans="2:19" ht="30.5" x14ac:dyDescent="0.25">
      <c r="B65" s="109"/>
      <c r="C65" s="120" t="s">
        <v>87</v>
      </c>
      <c r="D65" s="121">
        <v>4</v>
      </c>
      <c r="E65" s="122">
        <f t="shared" si="8"/>
        <v>0</v>
      </c>
      <c r="F65" s="133">
        <f t="shared" si="9"/>
        <v>0</v>
      </c>
      <c r="G65" s="132">
        <f t="shared" si="9"/>
        <v>0</v>
      </c>
      <c r="H65" s="133">
        <f t="shared" si="10"/>
        <v>0</v>
      </c>
      <c r="I65" s="132">
        <f t="shared" si="10"/>
        <v>0</v>
      </c>
      <c r="J65" s="133">
        <f t="shared" si="11"/>
        <v>0</v>
      </c>
      <c r="K65" s="132">
        <f t="shared" si="11"/>
        <v>0</v>
      </c>
      <c r="L65" s="133">
        <f t="shared" si="12"/>
        <v>0</v>
      </c>
      <c r="M65" s="132">
        <f t="shared" si="12"/>
        <v>0</v>
      </c>
      <c r="N65" s="133">
        <f t="shared" si="13"/>
        <v>0</v>
      </c>
      <c r="O65" s="132">
        <f t="shared" si="13"/>
        <v>0</v>
      </c>
      <c r="P65" s="133">
        <f t="shared" si="14"/>
        <v>0</v>
      </c>
      <c r="Q65" s="132">
        <f t="shared" si="14"/>
        <v>0</v>
      </c>
      <c r="R65" s="133">
        <f t="shared" si="15"/>
        <v>0</v>
      </c>
      <c r="S65" s="132">
        <f t="shared" si="15"/>
        <v>0</v>
      </c>
    </row>
    <row r="66" spans="2:19" ht="20.5" x14ac:dyDescent="0.25">
      <c r="B66" s="109"/>
      <c r="C66" s="120" t="s">
        <v>70</v>
      </c>
      <c r="D66" s="121">
        <v>4</v>
      </c>
      <c r="E66" s="122">
        <f t="shared" si="8"/>
        <v>18</v>
      </c>
      <c r="F66" s="133">
        <f t="shared" si="9"/>
        <v>2</v>
      </c>
      <c r="G66" s="132">
        <f t="shared" si="9"/>
        <v>3.3280638988268663E-3</v>
      </c>
      <c r="H66" s="133">
        <f t="shared" si="10"/>
        <v>12</v>
      </c>
      <c r="I66" s="132">
        <f t="shared" si="10"/>
        <v>3.9437557201098261E-2</v>
      </c>
      <c r="J66" s="133">
        <f t="shared" si="11"/>
        <v>1</v>
      </c>
      <c r="K66" s="132">
        <f t="shared" si="11"/>
        <v>-3.5776686912388778E-3</v>
      </c>
      <c r="L66" s="133">
        <f t="shared" si="12"/>
        <v>2</v>
      </c>
      <c r="M66" s="132">
        <f t="shared" si="12"/>
        <v>3.3280638988268663E-3</v>
      </c>
      <c r="N66" s="133">
        <f t="shared" si="13"/>
        <v>-2</v>
      </c>
      <c r="O66" s="132">
        <f t="shared" si="13"/>
        <v>-3.6275896497212745E-2</v>
      </c>
      <c r="P66" s="133">
        <f t="shared" si="14"/>
        <v>-1</v>
      </c>
      <c r="Q66" s="132">
        <f t="shared" si="14"/>
        <v>-2.3379648889258683E-2</v>
      </c>
      <c r="R66" s="133">
        <f t="shared" si="15"/>
        <v>4</v>
      </c>
      <c r="S66" s="132">
        <f t="shared" si="15"/>
        <v>1.7139529078958313E-2</v>
      </c>
    </row>
    <row r="67" spans="2:19" ht="30.5" x14ac:dyDescent="0.25">
      <c r="B67" s="109"/>
      <c r="C67" s="120" t="s">
        <v>71</v>
      </c>
      <c r="D67" s="121">
        <v>5</v>
      </c>
      <c r="E67" s="122">
        <f t="shared" si="8"/>
        <v>7</v>
      </c>
      <c r="F67" s="133">
        <f t="shared" si="9"/>
        <v>-1</v>
      </c>
      <c r="G67" s="132">
        <f t="shared" si="9"/>
        <v>-1.6830694622735731E-2</v>
      </c>
      <c r="H67" s="133">
        <f t="shared" si="10"/>
        <v>11</v>
      </c>
      <c r="I67" s="132">
        <f t="shared" si="10"/>
        <v>4.6854942233632846E-2</v>
      </c>
      <c r="J67" s="133">
        <f t="shared" si="11"/>
        <v>3</v>
      </c>
      <c r="K67" s="132">
        <f t="shared" si="11"/>
        <v>1.4298958779061469E-2</v>
      </c>
      <c r="L67" s="133">
        <f t="shared" si="12"/>
        <v>2</v>
      </c>
      <c r="M67" s="132">
        <f t="shared" si="12"/>
        <v>8.9502210811581717E-3</v>
      </c>
      <c r="N67" s="133">
        <f t="shared" si="13"/>
        <v>-3</v>
      </c>
      <c r="O67" s="132">
        <f t="shared" si="13"/>
        <v>-1.9790329482242193E-2</v>
      </c>
      <c r="P67" s="133">
        <f t="shared" si="14"/>
        <v>-5</v>
      </c>
      <c r="Q67" s="132">
        <f t="shared" si="14"/>
        <v>-3.2983882470403653E-2</v>
      </c>
      <c r="R67" s="133">
        <f t="shared" si="15"/>
        <v>0</v>
      </c>
      <c r="S67" s="132">
        <f t="shared" si="15"/>
        <v>-4.9921551847097526E-4</v>
      </c>
    </row>
    <row r="68" spans="2:19" ht="30.5" x14ac:dyDescent="0.25">
      <c r="B68" s="109"/>
      <c r="C68" s="120" t="s">
        <v>72</v>
      </c>
      <c r="D68" s="121">
        <v>5</v>
      </c>
      <c r="E68" s="122">
        <f t="shared" si="8"/>
        <v>-1</v>
      </c>
      <c r="F68" s="133">
        <f t="shared" si="9"/>
        <v>-4</v>
      </c>
      <c r="G68" s="132">
        <f t="shared" si="9"/>
        <v>-1.63028515240905E-2</v>
      </c>
      <c r="H68" s="133">
        <f t="shared" si="10"/>
        <v>0</v>
      </c>
      <c r="I68" s="132">
        <f t="shared" si="10"/>
        <v>1.7109144542772903E-3</v>
      </c>
      <c r="J68" s="133">
        <f t="shared" si="11"/>
        <v>0</v>
      </c>
      <c r="K68" s="132">
        <f t="shared" si="11"/>
        <v>7.8662733529990397E-5</v>
      </c>
      <c r="L68" s="133">
        <f t="shared" si="12"/>
        <v>1</v>
      </c>
      <c r="M68" s="132">
        <f t="shared" si="12"/>
        <v>4.8377581120944008E-3</v>
      </c>
      <c r="N68" s="133">
        <f t="shared" si="13"/>
        <v>-1</v>
      </c>
      <c r="O68" s="132">
        <f t="shared" si="13"/>
        <v>-4.3461160275319564E-3</v>
      </c>
      <c r="P68" s="133">
        <f t="shared" si="14"/>
        <v>4</v>
      </c>
      <c r="Q68" s="132">
        <f t="shared" si="14"/>
        <v>1.8407079646017704E-2</v>
      </c>
      <c r="R68" s="133">
        <f t="shared" si="15"/>
        <v>-1</v>
      </c>
      <c r="S68" s="132">
        <f t="shared" si="15"/>
        <v>-4.3854473942969516E-3</v>
      </c>
    </row>
    <row r="69" spans="2:19" ht="20.5" x14ac:dyDescent="0.25">
      <c r="B69" s="109"/>
      <c r="C69" s="120" t="s">
        <v>73</v>
      </c>
      <c r="D69" s="121">
        <v>6</v>
      </c>
      <c r="E69" s="122">
        <f t="shared" si="8"/>
        <v>2</v>
      </c>
      <c r="F69" s="133">
        <f t="shared" si="9"/>
        <v>-4</v>
      </c>
      <c r="G69" s="132">
        <f t="shared" si="9"/>
        <v>-2.674999047365012E-2</v>
      </c>
      <c r="H69" s="133">
        <f t="shared" si="10"/>
        <v>6</v>
      </c>
      <c r="I69" s="132">
        <f t="shared" si="10"/>
        <v>3.4904545974164564E-2</v>
      </c>
      <c r="J69" s="133">
        <f t="shared" si="11"/>
        <v>1</v>
      </c>
      <c r="K69" s="132">
        <f t="shared" si="11"/>
        <v>6.0587585260831467E-3</v>
      </c>
      <c r="L69" s="133">
        <f t="shared" si="12"/>
        <v>1</v>
      </c>
      <c r="M69" s="132">
        <f t="shared" si="12"/>
        <v>3.3913805586251455E-3</v>
      </c>
      <c r="N69" s="133">
        <f t="shared" si="13"/>
        <v>-4</v>
      </c>
      <c r="O69" s="132">
        <f t="shared" si="13"/>
        <v>-2.7131044469001275E-2</v>
      </c>
      <c r="P69" s="133">
        <f t="shared" si="14"/>
        <v>1</v>
      </c>
      <c r="Q69" s="132">
        <f t="shared" si="14"/>
        <v>5.9825477270129199E-3</v>
      </c>
      <c r="R69" s="133">
        <f t="shared" si="15"/>
        <v>1</v>
      </c>
      <c r="S69" s="132">
        <f t="shared" si="15"/>
        <v>3.5438021567656131E-3</v>
      </c>
    </row>
    <row r="71" spans="2:19" ht="13" x14ac:dyDescent="0.3">
      <c r="E71" s="599" t="e">
        <f>SUM(E52:E70)</f>
        <v>#REF!</v>
      </c>
      <c r="F71" s="130" t="e">
        <f>SUM(F52:F70)</f>
        <v>#REF!</v>
      </c>
      <c r="G71" s="101"/>
      <c r="H71" s="130" t="e">
        <f>SUM(H52:H70)</f>
        <v>#REF!</v>
      </c>
      <c r="I71" s="101"/>
      <c r="J71" s="130" t="e">
        <f>SUM(J52:J70)</f>
        <v>#REF!</v>
      </c>
      <c r="K71" s="101"/>
      <c r="L71" s="130" t="e">
        <f>SUM(L52:L70)</f>
        <v>#REF!</v>
      </c>
      <c r="M71" s="101"/>
      <c r="N71" s="130" t="e">
        <f>SUM(N52:N70)</f>
        <v>#REF!</v>
      </c>
      <c r="O71" s="101"/>
      <c r="P71" s="130" t="e">
        <f>SUM(P52:P70)</f>
        <v>#REF!</v>
      </c>
      <c r="Q71" s="101"/>
      <c r="R71" s="130" t="e">
        <f>SUM(R52:R70)</f>
        <v>#REF!</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1CD5-0798-4D65-B58A-A91A1C9623AC}">
  <sheetPr>
    <tabColor theme="4" tint="0.39997558519241921"/>
  </sheetPr>
  <dimension ref="B2:Y52"/>
  <sheetViews>
    <sheetView workbookViewId="0">
      <selection activeCell="O19" sqref="O19"/>
    </sheetView>
  </sheetViews>
  <sheetFormatPr defaultRowHeight="12.5" x14ac:dyDescent="0.25"/>
  <cols>
    <col min="5" max="5" width="11.7265625" customWidth="1"/>
    <col min="21" max="21" width="8.7265625" style="2"/>
    <col min="24" max="24" width="10.54296875" bestFit="1" customWidth="1"/>
    <col min="25" max="25" width="8.7265625" style="2"/>
  </cols>
  <sheetData>
    <row r="2" spans="2:25" ht="13" x14ac:dyDescent="0.3">
      <c r="B2" s="167" t="s">
        <v>773</v>
      </c>
      <c r="C2" s="109"/>
      <c r="D2" s="109"/>
      <c r="E2" s="109"/>
      <c r="F2" s="109"/>
      <c r="G2" s="109"/>
      <c r="H2" s="109"/>
      <c r="I2" s="109"/>
      <c r="J2" s="109"/>
      <c r="K2" s="109"/>
      <c r="L2" s="109"/>
      <c r="M2" s="109"/>
      <c r="N2" s="109"/>
      <c r="O2" s="109"/>
      <c r="P2" s="109"/>
      <c r="Q2" s="109"/>
      <c r="R2" s="109"/>
      <c r="S2" s="109"/>
    </row>
    <row r="3" spans="2:25" x14ac:dyDescent="0.25">
      <c r="B3" s="109"/>
      <c r="C3" s="109"/>
      <c r="D3" s="109"/>
      <c r="E3" s="109"/>
      <c r="F3" s="109"/>
      <c r="G3" s="109"/>
      <c r="H3" s="109"/>
      <c r="I3" s="109"/>
      <c r="J3" s="109"/>
      <c r="K3" s="109"/>
      <c r="L3" s="109"/>
      <c r="M3" s="109"/>
      <c r="N3" s="109"/>
      <c r="O3" s="109"/>
      <c r="P3" s="109"/>
      <c r="Q3" s="109"/>
      <c r="R3" s="109"/>
      <c r="S3" s="109"/>
      <c r="X3" s="109" t="s">
        <v>312</v>
      </c>
    </row>
    <row r="4" spans="2:25" ht="37.5" x14ac:dyDescent="0.25">
      <c r="B4" s="109"/>
      <c r="C4" s="114" t="s">
        <v>49</v>
      </c>
      <c r="D4" s="114" t="s">
        <v>50</v>
      </c>
      <c r="E4" s="115" t="s">
        <v>257</v>
      </c>
      <c r="F4" s="116" t="s">
        <v>229</v>
      </c>
      <c r="G4" s="117" t="s">
        <v>280</v>
      </c>
      <c r="H4" s="116" t="s">
        <v>230</v>
      </c>
      <c r="I4" s="117" t="s">
        <v>290</v>
      </c>
      <c r="J4" s="116" t="s">
        <v>231</v>
      </c>
      <c r="K4" s="117" t="s">
        <v>291</v>
      </c>
      <c r="L4" s="116" t="s">
        <v>232</v>
      </c>
      <c r="M4" s="117" t="s">
        <v>292</v>
      </c>
      <c r="N4" s="118" t="s">
        <v>233</v>
      </c>
      <c r="O4" s="119" t="s">
        <v>293</v>
      </c>
      <c r="P4" s="116" t="s">
        <v>234</v>
      </c>
      <c r="Q4" s="117" t="s">
        <v>294</v>
      </c>
      <c r="R4" s="118" t="s">
        <v>235</v>
      </c>
      <c r="S4" s="119" t="s">
        <v>295</v>
      </c>
      <c r="X4" s="367" t="s">
        <v>743</v>
      </c>
      <c r="Y4" s="109" t="s">
        <v>1</v>
      </c>
    </row>
    <row r="5" spans="2:25" ht="20.5" x14ac:dyDescent="0.25">
      <c r="B5" s="68">
        <v>9257010</v>
      </c>
      <c r="C5" s="166" t="s">
        <v>439</v>
      </c>
      <c r="D5" s="121">
        <v>4</v>
      </c>
      <c r="E5" s="597">
        <v>149</v>
      </c>
      <c r="F5" s="123">
        <v>16</v>
      </c>
      <c r="G5" s="124">
        <f>F5/E5</f>
        <v>0.10738255033557047</v>
      </c>
      <c r="H5" s="125">
        <v>67</v>
      </c>
      <c r="I5" s="124">
        <f>H5/E5</f>
        <v>0.44966442953020136</v>
      </c>
      <c r="J5" s="125">
        <v>9</v>
      </c>
      <c r="K5" s="124">
        <f>J5/E5</f>
        <v>6.0402684563758392E-2</v>
      </c>
      <c r="L5" s="125">
        <v>24</v>
      </c>
      <c r="M5" s="124">
        <f>L5/E5</f>
        <v>0.16107382550335569</v>
      </c>
      <c r="N5" s="126">
        <v>11</v>
      </c>
      <c r="O5" s="127">
        <f>N5/E5</f>
        <v>7.3825503355704702E-2</v>
      </c>
      <c r="P5" s="125">
        <v>10</v>
      </c>
      <c r="Q5" s="124">
        <f>P5/E5</f>
        <v>6.7114093959731544E-2</v>
      </c>
      <c r="R5" s="126">
        <v>12</v>
      </c>
      <c r="S5" s="127">
        <f>R5/E5</f>
        <v>8.0536912751677847E-2</v>
      </c>
      <c r="U5" s="651">
        <f t="shared" ref="U5:U21" si="0">G5+I5+K5+M5+O5+Q5+S5</f>
        <v>1</v>
      </c>
      <c r="X5" s="169">
        <f>VLOOKUP(B5,'2324 Funding Detail'!$A$4:$M$20,13,(FALSE))</f>
        <v>139.33333333333334</v>
      </c>
      <c r="Y5" s="169">
        <f>X5-E5</f>
        <v>-9.6666666666666572</v>
      </c>
    </row>
    <row r="6" spans="2:25" ht="20.5" x14ac:dyDescent="0.25">
      <c r="B6" s="68">
        <v>9257005</v>
      </c>
      <c r="C6" s="166" t="s">
        <v>63</v>
      </c>
      <c r="D6" s="121" t="s">
        <v>451</v>
      </c>
      <c r="E6" s="597">
        <v>71</v>
      </c>
      <c r="F6" s="123">
        <v>6</v>
      </c>
      <c r="G6" s="124">
        <f>F6/E6</f>
        <v>8.4507042253521125E-2</v>
      </c>
      <c r="H6" s="125">
        <v>25</v>
      </c>
      <c r="I6" s="124">
        <f>H6/E6</f>
        <v>0.352112676056338</v>
      </c>
      <c r="J6" s="125">
        <v>6</v>
      </c>
      <c r="K6" s="124">
        <f>J6/E6</f>
        <v>8.4507042253521125E-2</v>
      </c>
      <c r="L6" s="125">
        <v>9</v>
      </c>
      <c r="M6" s="124">
        <f>L6/E6</f>
        <v>0.12676056338028169</v>
      </c>
      <c r="N6" s="126">
        <v>8</v>
      </c>
      <c r="O6" s="127">
        <f>N6/E6</f>
        <v>0.11267605633802817</v>
      </c>
      <c r="P6" s="125">
        <v>12</v>
      </c>
      <c r="Q6" s="124">
        <f>P6/E6</f>
        <v>0.16901408450704225</v>
      </c>
      <c r="R6" s="126">
        <v>5</v>
      </c>
      <c r="S6" s="127">
        <f>R6/E6</f>
        <v>7.0422535211267609E-2</v>
      </c>
      <c r="U6" s="651">
        <f t="shared" si="0"/>
        <v>1</v>
      </c>
      <c r="X6" s="169">
        <f>VLOOKUP(B6,'2324 Funding Detail'!$A$4:$M$20,13,(FALSE))</f>
        <v>79.75</v>
      </c>
      <c r="Y6" s="169">
        <f t="shared" ref="Y6:Y21" si="1">X6-E6</f>
        <v>8.75</v>
      </c>
    </row>
    <row r="7" spans="2:25" ht="20.5" x14ac:dyDescent="0.25">
      <c r="B7" s="68">
        <v>9257025</v>
      </c>
      <c r="C7" s="166" t="s">
        <v>64</v>
      </c>
      <c r="D7" s="121">
        <v>4</v>
      </c>
      <c r="E7" s="597">
        <v>90</v>
      </c>
      <c r="F7" s="123">
        <v>12</v>
      </c>
      <c r="G7" s="124">
        <f>F7/E7</f>
        <v>0.13333333333333333</v>
      </c>
      <c r="H7" s="125">
        <v>48</v>
      </c>
      <c r="I7" s="124">
        <f>H7/E7</f>
        <v>0.53333333333333333</v>
      </c>
      <c r="J7" s="125">
        <v>4</v>
      </c>
      <c r="K7" s="124">
        <f>J7/E7</f>
        <v>4.4444444444444446E-2</v>
      </c>
      <c r="L7" s="125">
        <v>10</v>
      </c>
      <c r="M7" s="124">
        <f>L7/E7</f>
        <v>0.1111111111111111</v>
      </c>
      <c r="N7" s="126">
        <v>1</v>
      </c>
      <c r="O7" s="127">
        <f>N7/E7</f>
        <v>1.1111111111111112E-2</v>
      </c>
      <c r="P7" s="125">
        <v>11</v>
      </c>
      <c r="Q7" s="124">
        <f>P7/E7</f>
        <v>0.12222222222222222</v>
      </c>
      <c r="R7" s="126">
        <v>4</v>
      </c>
      <c r="S7" s="127">
        <f>R7/E7</f>
        <v>4.4444444444444446E-2</v>
      </c>
      <c r="U7" s="651">
        <f t="shared" si="0"/>
        <v>0.99999999999999989</v>
      </c>
      <c r="X7" s="169">
        <f>VLOOKUP(B7,'2324 Funding Detail'!$A$4:$M$20,13,(FALSE))</f>
        <v>96</v>
      </c>
      <c r="Y7" s="169">
        <f t="shared" si="1"/>
        <v>6</v>
      </c>
    </row>
    <row r="8" spans="2:25" ht="20.5" x14ac:dyDescent="0.25">
      <c r="B8" s="68">
        <v>9257024</v>
      </c>
      <c r="C8" s="166" t="s">
        <v>66</v>
      </c>
      <c r="D8" s="121">
        <v>4</v>
      </c>
      <c r="E8" s="597">
        <v>85</v>
      </c>
      <c r="F8" s="125">
        <v>7</v>
      </c>
      <c r="G8" s="124">
        <f>F8/E8</f>
        <v>8.2352941176470587E-2</v>
      </c>
      <c r="H8" s="125">
        <v>46</v>
      </c>
      <c r="I8" s="124">
        <f>H8/E8</f>
        <v>0.54117647058823526</v>
      </c>
      <c r="J8" s="125">
        <v>1</v>
      </c>
      <c r="K8" s="124">
        <f>J8/E8</f>
        <v>1.1764705882352941E-2</v>
      </c>
      <c r="L8" s="125">
        <v>15</v>
      </c>
      <c r="M8" s="124">
        <f>L8/E8</f>
        <v>0.17647058823529413</v>
      </c>
      <c r="N8" s="126">
        <v>6</v>
      </c>
      <c r="O8" s="127">
        <f>N8/E8</f>
        <v>7.0588235294117646E-2</v>
      </c>
      <c r="P8" s="125">
        <v>4</v>
      </c>
      <c r="Q8" s="124">
        <f>P8/E8</f>
        <v>4.7058823529411764E-2</v>
      </c>
      <c r="R8" s="126">
        <v>6</v>
      </c>
      <c r="S8" s="127">
        <f>R8/E8</f>
        <v>7.0588235294117646E-2</v>
      </c>
      <c r="U8" s="651">
        <f t="shared" si="0"/>
        <v>1</v>
      </c>
      <c r="X8" s="169">
        <f>VLOOKUP(B8,'2324 Funding Detail'!$A$4:$M$20,13,(FALSE))</f>
        <v>92.916666666666671</v>
      </c>
      <c r="Y8" s="169">
        <f t="shared" si="1"/>
        <v>7.9166666666666714</v>
      </c>
    </row>
    <row r="9" spans="2:25" ht="20.5" x14ac:dyDescent="0.25">
      <c r="B9" s="68">
        <v>9257031</v>
      </c>
      <c r="C9" s="166" t="s">
        <v>84</v>
      </c>
      <c r="D9" s="121" t="s">
        <v>452</v>
      </c>
      <c r="E9" s="597">
        <f>F9+H9+J9+L9+N9+P9+R9</f>
        <v>0</v>
      </c>
      <c r="F9" s="125">
        <v>0</v>
      </c>
      <c r="G9" s="124">
        <v>0</v>
      </c>
      <c r="H9" s="125">
        <v>0</v>
      </c>
      <c r="I9" s="124">
        <v>0</v>
      </c>
      <c r="J9" s="125">
        <v>0</v>
      </c>
      <c r="K9" s="124">
        <v>1</v>
      </c>
      <c r="L9" s="125">
        <v>0</v>
      </c>
      <c r="M9" s="124">
        <v>0</v>
      </c>
      <c r="N9" s="126">
        <v>0</v>
      </c>
      <c r="O9" s="127">
        <v>0</v>
      </c>
      <c r="P9" s="125">
        <v>0</v>
      </c>
      <c r="Q9" s="124">
        <v>0</v>
      </c>
      <c r="R9" s="126">
        <v>0</v>
      </c>
      <c r="S9" s="127">
        <v>0</v>
      </c>
      <c r="U9" s="651">
        <f t="shared" si="0"/>
        <v>1</v>
      </c>
      <c r="X9" s="650">
        <f>VLOOKUP(B9,'2324 Funding Detail'!$A$4:$M$20,13,(FALSE))</f>
        <v>80.583333333333343</v>
      </c>
      <c r="Y9" s="650">
        <f>X9-E9</f>
        <v>80.583333333333343</v>
      </c>
    </row>
    <row r="10" spans="2:25" ht="30.5" x14ac:dyDescent="0.25">
      <c r="B10" s="68">
        <v>9257033</v>
      </c>
      <c r="C10" s="166" t="s">
        <v>74</v>
      </c>
      <c r="D10" s="121" t="s">
        <v>451</v>
      </c>
      <c r="E10" s="597">
        <v>111</v>
      </c>
      <c r="F10" s="125">
        <v>15</v>
      </c>
      <c r="G10" s="124">
        <f>F10/E10</f>
        <v>0.13513513513513514</v>
      </c>
      <c r="H10" s="125">
        <v>75</v>
      </c>
      <c r="I10" s="124">
        <f>H10/E10</f>
        <v>0.67567567567567566</v>
      </c>
      <c r="J10" s="125">
        <v>1</v>
      </c>
      <c r="K10" s="124">
        <f>J10/E10</f>
        <v>9.0090090090090089E-3</v>
      </c>
      <c r="L10" s="125">
        <v>10</v>
      </c>
      <c r="M10" s="124">
        <f>L10/E10</f>
        <v>9.0090090090090086E-2</v>
      </c>
      <c r="N10" s="126">
        <v>5</v>
      </c>
      <c r="O10" s="127">
        <f>N10/E10</f>
        <v>4.5045045045045043E-2</v>
      </c>
      <c r="P10" s="125">
        <v>3</v>
      </c>
      <c r="Q10" s="124">
        <f>P10/E10</f>
        <v>2.7027027027027029E-2</v>
      </c>
      <c r="R10" s="126">
        <v>2</v>
      </c>
      <c r="S10" s="127">
        <f>R10/E10</f>
        <v>1.8018018018018018E-2</v>
      </c>
      <c r="U10" s="651">
        <f t="shared" si="0"/>
        <v>1</v>
      </c>
      <c r="X10" s="169">
        <f>VLOOKUP(B10,'2324 Funding Detail'!$A$4:$M$20,13,(FALSE))</f>
        <v>113.75000000000001</v>
      </c>
      <c r="Y10" s="169">
        <f t="shared" si="1"/>
        <v>2.7500000000000142</v>
      </c>
    </row>
    <row r="11" spans="2:25" ht="20.5" x14ac:dyDescent="0.25">
      <c r="B11" s="68">
        <v>9257008</v>
      </c>
      <c r="C11" s="166" t="s">
        <v>67</v>
      </c>
      <c r="D11" s="121">
        <v>4</v>
      </c>
      <c r="E11" s="597">
        <v>101</v>
      </c>
      <c r="F11" s="125">
        <v>16</v>
      </c>
      <c r="G11" s="124">
        <f>F11/E11</f>
        <v>0.15841584158415842</v>
      </c>
      <c r="H11" s="125">
        <v>63</v>
      </c>
      <c r="I11" s="124">
        <f>H11/E11</f>
        <v>0.62376237623762376</v>
      </c>
      <c r="J11" s="125">
        <v>5</v>
      </c>
      <c r="K11" s="124">
        <f>J11/E11</f>
        <v>4.9504950495049507E-2</v>
      </c>
      <c r="L11" s="125">
        <v>11</v>
      </c>
      <c r="M11" s="124">
        <f>L11/E11</f>
        <v>0.10891089108910891</v>
      </c>
      <c r="N11" s="128">
        <v>0</v>
      </c>
      <c r="O11" s="127">
        <f>N11/E11</f>
        <v>0</v>
      </c>
      <c r="P11" s="125">
        <v>6</v>
      </c>
      <c r="Q11" s="124">
        <f>P11/E11</f>
        <v>5.9405940594059403E-2</v>
      </c>
      <c r="R11" s="128">
        <v>0</v>
      </c>
      <c r="S11" s="127">
        <f>R11/E11</f>
        <v>0</v>
      </c>
      <c r="U11" s="651">
        <f t="shared" si="0"/>
        <v>1</v>
      </c>
      <c r="X11" s="169">
        <f>VLOOKUP(B11,'2324 Funding Detail'!$A$4:$M$20,13,(FALSE))</f>
        <v>101</v>
      </c>
      <c r="Y11" s="169">
        <f t="shared" si="1"/>
        <v>0</v>
      </c>
    </row>
    <row r="12" spans="2:25" ht="20.5" x14ac:dyDescent="0.25">
      <c r="B12" s="68">
        <v>9257034</v>
      </c>
      <c r="C12" s="166" t="s">
        <v>75</v>
      </c>
      <c r="D12" s="121" t="s">
        <v>451</v>
      </c>
      <c r="E12" s="597">
        <v>117</v>
      </c>
      <c r="F12" s="125">
        <v>50</v>
      </c>
      <c r="G12" s="124">
        <f>F12/E12</f>
        <v>0.42735042735042733</v>
      </c>
      <c r="H12" s="125">
        <v>41</v>
      </c>
      <c r="I12" s="124">
        <f>H12/E12</f>
        <v>0.3504273504273504</v>
      </c>
      <c r="J12" s="125">
        <v>11</v>
      </c>
      <c r="K12" s="124">
        <f>J12/E12</f>
        <v>9.4017094017094016E-2</v>
      </c>
      <c r="L12" s="125">
        <v>6</v>
      </c>
      <c r="M12" s="124">
        <f>L12/E12</f>
        <v>5.128205128205128E-2</v>
      </c>
      <c r="N12" s="126">
        <v>3</v>
      </c>
      <c r="O12" s="127">
        <f>N12/E12</f>
        <v>2.564102564102564E-2</v>
      </c>
      <c r="P12" s="125">
        <v>5</v>
      </c>
      <c r="Q12" s="124">
        <f>P12/E12</f>
        <v>4.2735042735042736E-2</v>
      </c>
      <c r="R12" s="126">
        <v>1</v>
      </c>
      <c r="S12" s="127">
        <f>R12/E12</f>
        <v>8.5470085470085479E-3</v>
      </c>
      <c r="U12" s="651">
        <f t="shared" si="0"/>
        <v>0.99999999999999989</v>
      </c>
      <c r="X12" s="169">
        <f>VLOOKUP(B12,'2324 Funding Detail'!$A$4:$M$20,13,(FALSE))</f>
        <v>128.33333333333334</v>
      </c>
      <c r="Y12" s="169">
        <f t="shared" si="1"/>
        <v>11.333333333333343</v>
      </c>
    </row>
    <row r="13" spans="2:25" ht="20.5" x14ac:dyDescent="0.25">
      <c r="B13" s="68">
        <v>9257002</v>
      </c>
      <c r="C13" s="166" t="s">
        <v>68</v>
      </c>
      <c r="D13" s="121">
        <v>4</v>
      </c>
      <c r="E13" s="597">
        <v>164</v>
      </c>
      <c r="F13" s="125">
        <v>29</v>
      </c>
      <c r="G13" s="124">
        <f>F13/E13</f>
        <v>0.17682926829268292</v>
      </c>
      <c r="H13" s="125">
        <v>85</v>
      </c>
      <c r="I13" s="124">
        <f>H13/E13</f>
        <v>0.51829268292682928</v>
      </c>
      <c r="J13" s="125">
        <v>21</v>
      </c>
      <c r="K13" s="124">
        <f>J13/E13</f>
        <v>0.12804878048780488</v>
      </c>
      <c r="L13" s="125">
        <v>6</v>
      </c>
      <c r="M13" s="124">
        <f>L13/E13</f>
        <v>3.6585365853658534E-2</v>
      </c>
      <c r="N13" s="126">
        <v>5</v>
      </c>
      <c r="O13" s="127">
        <f>N13/E13</f>
        <v>3.048780487804878E-2</v>
      </c>
      <c r="P13" s="125">
        <v>16</v>
      </c>
      <c r="Q13" s="124">
        <f>P13/E13</f>
        <v>9.7560975609756101E-2</v>
      </c>
      <c r="R13" s="126">
        <v>2</v>
      </c>
      <c r="S13" s="127">
        <f>R13/E13</f>
        <v>1.2195121951219513E-2</v>
      </c>
      <c r="U13" s="651">
        <f t="shared" si="0"/>
        <v>1</v>
      </c>
      <c r="X13" s="169">
        <f>VLOOKUP(B13,'2324 Funding Detail'!$A$4:$M$20,13,(FALSE))</f>
        <v>168.91666666666669</v>
      </c>
      <c r="Y13" s="169">
        <f t="shared" si="1"/>
        <v>4.9166666666666856</v>
      </c>
    </row>
    <row r="14" spans="2:25" ht="20.5" x14ac:dyDescent="0.25">
      <c r="B14" s="68">
        <v>9257009</v>
      </c>
      <c r="C14" s="166" t="s">
        <v>334</v>
      </c>
      <c r="D14" s="121">
        <v>4</v>
      </c>
      <c r="E14" s="597">
        <v>197</v>
      </c>
      <c r="F14" s="125">
        <v>34</v>
      </c>
      <c r="G14" s="124">
        <f>F14/E14</f>
        <v>0.17258883248730963</v>
      </c>
      <c r="H14" s="125">
        <v>100</v>
      </c>
      <c r="I14" s="124">
        <f>H14/E14</f>
        <v>0.50761421319796951</v>
      </c>
      <c r="J14" s="125">
        <v>13</v>
      </c>
      <c r="K14" s="124">
        <f>J14/E14</f>
        <v>6.5989847715736044E-2</v>
      </c>
      <c r="L14" s="125">
        <v>16</v>
      </c>
      <c r="M14" s="124">
        <f>L14/E14</f>
        <v>8.1218274111675121E-2</v>
      </c>
      <c r="N14" s="126">
        <f>1+6</f>
        <v>7</v>
      </c>
      <c r="O14" s="127">
        <f>N14/E14</f>
        <v>3.553299492385787E-2</v>
      </c>
      <c r="P14" s="125">
        <v>17</v>
      </c>
      <c r="Q14" s="124">
        <f>P14/E14</f>
        <v>8.6294416243654817E-2</v>
      </c>
      <c r="R14" s="126">
        <v>10</v>
      </c>
      <c r="S14" s="127">
        <f>R14/E14</f>
        <v>5.0761421319796954E-2</v>
      </c>
      <c r="U14" s="651">
        <f t="shared" si="0"/>
        <v>1</v>
      </c>
      <c r="X14" s="169">
        <f>VLOOKUP(B14,'2324 Funding Detail'!$A$4:$M$20,13,(FALSE))</f>
        <v>207.83333333333337</v>
      </c>
      <c r="Y14" s="169">
        <f t="shared" si="1"/>
        <v>10.833333333333371</v>
      </c>
    </row>
    <row r="15" spans="2:25" ht="20.5" x14ac:dyDescent="0.25">
      <c r="B15" s="68">
        <v>9257029</v>
      </c>
      <c r="C15" s="166" t="s">
        <v>278</v>
      </c>
      <c r="D15" s="121" t="s">
        <v>452</v>
      </c>
      <c r="E15" s="597">
        <f>F15+H15+J15+L15+N15+P15+R15</f>
        <v>0</v>
      </c>
      <c r="F15" s="125">
        <v>0</v>
      </c>
      <c r="G15" s="124">
        <v>0</v>
      </c>
      <c r="H15" s="125">
        <v>0</v>
      </c>
      <c r="I15" s="124">
        <v>0</v>
      </c>
      <c r="J15" s="125">
        <v>0</v>
      </c>
      <c r="K15" s="124">
        <v>1</v>
      </c>
      <c r="L15" s="125">
        <v>0</v>
      </c>
      <c r="M15" s="124">
        <v>0</v>
      </c>
      <c r="N15" s="126">
        <v>0</v>
      </c>
      <c r="O15" s="127">
        <v>0</v>
      </c>
      <c r="P15" s="125">
        <v>0</v>
      </c>
      <c r="Q15" s="124">
        <v>0</v>
      </c>
      <c r="R15" s="126">
        <v>0</v>
      </c>
      <c r="S15" s="127">
        <v>0</v>
      </c>
      <c r="U15" s="651">
        <f t="shared" si="0"/>
        <v>1</v>
      </c>
      <c r="X15" s="650">
        <f>VLOOKUP(B15,'2324 Funding Detail'!$A$4:$M$20,13,(FALSE))</f>
        <v>79</v>
      </c>
      <c r="Y15" s="650">
        <f t="shared" si="1"/>
        <v>79</v>
      </c>
    </row>
    <row r="16" spans="2:25" ht="20.5" x14ac:dyDescent="0.25">
      <c r="B16" s="68">
        <v>9257032</v>
      </c>
      <c r="C16" s="166" t="s">
        <v>266</v>
      </c>
      <c r="D16" s="121" t="s">
        <v>452</v>
      </c>
      <c r="E16" s="597">
        <f>F16+H16+J16+L16+N16+P16+R16</f>
        <v>0</v>
      </c>
      <c r="F16" s="125">
        <v>0</v>
      </c>
      <c r="G16" s="124">
        <v>0</v>
      </c>
      <c r="H16" s="125">
        <v>0</v>
      </c>
      <c r="I16" s="124">
        <v>0</v>
      </c>
      <c r="J16" s="125">
        <v>0</v>
      </c>
      <c r="K16" s="124">
        <v>1</v>
      </c>
      <c r="L16" s="125">
        <v>0</v>
      </c>
      <c r="M16" s="124">
        <v>0</v>
      </c>
      <c r="N16" s="126">
        <v>0</v>
      </c>
      <c r="O16" s="127">
        <v>0</v>
      </c>
      <c r="P16" s="125">
        <v>0</v>
      </c>
      <c r="Q16" s="124">
        <v>0</v>
      </c>
      <c r="R16" s="126">
        <v>0</v>
      </c>
      <c r="S16" s="127">
        <v>0</v>
      </c>
      <c r="U16" s="651">
        <f t="shared" si="0"/>
        <v>1</v>
      </c>
      <c r="X16" s="650">
        <f>VLOOKUP(B16,'2324 Funding Detail'!$A$4:$M$20,13,(FALSE))</f>
        <v>110.41666666666669</v>
      </c>
      <c r="Y16" s="650">
        <f t="shared" si="1"/>
        <v>110.41666666666669</v>
      </c>
    </row>
    <row r="17" spans="2:25" ht="20.5" x14ac:dyDescent="0.25">
      <c r="B17" s="68">
        <v>9257030</v>
      </c>
      <c r="C17" s="166" t="s">
        <v>268</v>
      </c>
      <c r="D17" s="121" t="s">
        <v>452</v>
      </c>
      <c r="E17" s="597">
        <f>F17+H17+J17+L17+N17+P17+R17</f>
        <v>0</v>
      </c>
      <c r="F17" s="123">
        <v>0</v>
      </c>
      <c r="G17" s="124">
        <v>0</v>
      </c>
      <c r="H17" s="125">
        <v>0</v>
      </c>
      <c r="I17" s="124">
        <v>0</v>
      </c>
      <c r="J17" s="125">
        <v>0</v>
      </c>
      <c r="K17" s="124">
        <v>1</v>
      </c>
      <c r="L17" s="125">
        <v>0</v>
      </c>
      <c r="M17" s="124">
        <v>0</v>
      </c>
      <c r="N17" s="126">
        <v>0</v>
      </c>
      <c r="O17" s="127">
        <v>0</v>
      </c>
      <c r="P17" s="125">
        <v>0</v>
      </c>
      <c r="Q17" s="124">
        <v>0</v>
      </c>
      <c r="R17" s="126">
        <v>0</v>
      </c>
      <c r="S17" s="127">
        <v>0</v>
      </c>
      <c r="U17" s="651">
        <f t="shared" si="0"/>
        <v>1</v>
      </c>
      <c r="X17" s="650">
        <f>VLOOKUP(B17,'2324 Funding Detail'!$A$4:$M$20,13,(FALSE))</f>
        <v>70</v>
      </c>
      <c r="Y17" s="650">
        <f t="shared" si="1"/>
        <v>70</v>
      </c>
    </row>
    <row r="18" spans="2:25" ht="20.5" x14ac:dyDescent="0.25">
      <c r="B18" s="68">
        <v>9257028</v>
      </c>
      <c r="C18" s="166" t="s">
        <v>70</v>
      </c>
      <c r="D18" s="121">
        <v>4</v>
      </c>
      <c r="E18" s="597">
        <v>122</v>
      </c>
      <c r="F18" s="125">
        <v>11</v>
      </c>
      <c r="G18" s="124">
        <f>F18/E18</f>
        <v>9.0163934426229511E-2</v>
      </c>
      <c r="H18" s="123">
        <v>56</v>
      </c>
      <c r="I18" s="124">
        <f>H18/E18</f>
        <v>0.45901639344262296</v>
      </c>
      <c r="J18" s="123">
        <v>8</v>
      </c>
      <c r="K18" s="124">
        <f>J18/E18</f>
        <v>6.5573770491803282E-2</v>
      </c>
      <c r="L18" s="123">
        <v>10</v>
      </c>
      <c r="M18" s="124">
        <f>L18/E18</f>
        <v>8.1967213114754092E-2</v>
      </c>
      <c r="N18" s="126">
        <v>11</v>
      </c>
      <c r="O18" s="127">
        <f>N18/E18</f>
        <v>9.0163934426229511E-2</v>
      </c>
      <c r="P18" s="123">
        <v>8</v>
      </c>
      <c r="Q18" s="124">
        <f>P18/E18</f>
        <v>6.5573770491803282E-2</v>
      </c>
      <c r="R18" s="126">
        <v>18</v>
      </c>
      <c r="S18" s="127">
        <f>R18/E18</f>
        <v>0.14754098360655737</v>
      </c>
      <c r="U18" s="651">
        <f t="shared" si="0"/>
        <v>1</v>
      </c>
      <c r="X18" s="169">
        <f>VLOOKUP(B18,'2324 Funding Detail'!$A$4:$M$20,13,(FALSE))</f>
        <v>138.66666666666669</v>
      </c>
      <c r="Y18" s="169">
        <f t="shared" si="1"/>
        <v>16.666666666666686</v>
      </c>
    </row>
    <row r="19" spans="2:25" ht="30.5" x14ac:dyDescent="0.25">
      <c r="B19" s="68">
        <v>9257021</v>
      </c>
      <c r="C19" s="166" t="s">
        <v>71</v>
      </c>
      <c r="D19" s="121" t="s">
        <v>453</v>
      </c>
      <c r="E19" s="597">
        <v>170</v>
      </c>
      <c r="F19" s="125">
        <v>36</v>
      </c>
      <c r="G19" s="124">
        <f>F19/E19</f>
        <v>0.21176470588235294</v>
      </c>
      <c r="H19" s="125">
        <v>89</v>
      </c>
      <c r="I19" s="124">
        <f>H19/E19</f>
        <v>0.52352941176470591</v>
      </c>
      <c r="J19" s="125">
        <v>18</v>
      </c>
      <c r="K19" s="124">
        <f>J19/E19</f>
        <v>0.10588235294117647</v>
      </c>
      <c r="L19" s="125">
        <v>12</v>
      </c>
      <c r="M19" s="124">
        <f>L19/E19</f>
        <v>7.0588235294117646E-2</v>
      </c>
      <c r="N19" s="126">
        <v>5</v>
      </c>
      <c r="O19" s="127">
        <f>N19/E19</f>
        <v>2.9411764705882353E-2</v>
      </c>
      <c r="P19" s="125">
        <v>8</v>
      </c>
      <c r="Q19" s="124">
        <f>P19/E19</f>
        <v>4.7058823529411764E-2</v>
      </c>
      <c r="R19" s="126">
        <v>2</v>
      </c>
      <c r="S19" s="127">
        <f>R19/E19</f>
        <v>1.1764705882352941E-2</v>
      </c>
      <c r="U19" s="651">
        <f t="shared" si="0"/>
        <v>1</v>
      </c>
      <c r="X19" s="169">
        <f>VLOOKUP(B19,'2324 Funding Detail'!$A$4:$M$20,13,(FALSE))</f>
        <v>178.58333333333334</v>
      </c>
      <c r="Y19" s="169">
        <f t="shared" si="1"/>
        <v>8.5833333333333428</v>
      </c>
    </row>
    <row r="20" spans="2:25" ht="30.5" x14ac:dyDescent="0.25">
      <c r="B20" s="68">
        <v>9257015</v>
      </c>
      <c r="C20" s="166" t="s">
        <v>72</v>
      </c>
      <c r="D20" s="121" t="s">
        <v>454</v>
      </c>
      <c r="E20" s="597">
        <v>226</v>
      </c>
      <c r="F20" s="125">
        <v>61</v>
      </c>
      <c r="G20" s="124">
        <f>F20/E20</f>
        <v>0.26991150442477874</v>
      </c>
      <c r="H20" s="125">
        <v>95</v>
      </c>
      <c r="I20" s="124">
        <f>H20/E20</f>
        <v>0.42035398230088494</v>
      </c>
      <c r="J20" s="125">
        <v>5</v>
      </c>
      <c r="K20" s="124">
        <f>J20/E20</f>
        <v>2.2123893805309734E-2</v>
      </c>
      <c r="L20" s="125">
        <v>20</v>
      </c>
      <c r="M20" s="124">
        <f>L20/E20</f>
        <v>8.8495575221238937E-2</v>
      </c>
      <c r="N20" s="126">
        <v>5</v>
      </c>
      <c r="O20" s="127">
        <f>N20/E20</f>
        <v>2.2123893805309734E-2</v>
      </c>
      <c r="P20" s="125">
        <v>36</v>
      </c>
      <c r="Q20" s="124">
        <f>P20/E20</f>
        <v>0.15929203539823009</v>
      </c>
      <c r="R20" s="126">
        <v>4</v>
      </c>
      <c r="S20" s="127">
        <f>R20/E20</f>
        <v>1.7699115044247787E-2</v>
      </c>
      <c r="U20" s="651">
        <f t="shared" si="0"/>
        <v>1</v>
      </c>
      <c r="X20" s="169">
        <f>VLOOKUP(B20,'2324 Funding Detail'!$A$4:$M$20,13,(FALSE))</f>
        <v>234.33333333333337</v>
      </c>
      <c r="Y20" s="169">
        <f t="shared" si="1"/>
        <v>8.3333333333333712</v>
      </c>
    </row>
    <row r="21" spans="2:25" ht="20.5" x14ac:dyDescent="0.25">
      <c r="B21" s="68">
        <v>9257016</v>
      </c>
      <c r="C21" s="166" t="s">
        <v>73</v>
      </c>
      <c r="D21" s="121" t="s">
        <v>454</v>
      </c>
      <c r="E21" s="597">
        <v>160</v>
      </c>
      <c r="F21" s="125">
        <v>19</v>
      </c>
      <c r="G21" s="124">
        <f>F21/E21</f>
        <v>0.11874999999999999</v>
      </c>
      <c r="H21" s="125">
        <v>34</v>
      </c>
      <c r="I21" s="124">
        <f>H21/E21</f>
        <v>0.21249999999999999</v>
      </c>
      <c r="J21" s="125">
        <v>2</v>
      </c>
      <c r="K21" s="124">
        <f>J21/E21</f>
        <v>1.2500000000000001E-2</v>
      </c>
      <c r="L21" s="125">
        <v>39</v>
      </c>
      <c r="M21" s="124">
        <f>L21/E21</f>
        <v>0.24374999999999999</v>
      </c>
      <c r="N21" s="126">
        <v>29</v>
      </c>
      <c r="O21" s="127">
        <f>N21/E21</f>
        <v>0.18124999999999999</v>
      </c>
      <c r="P21" s="125">
        <v>3</v>
      </c>
      <c r="Q21" s="124">
        <f>P21/E21</f>
        <v>1.8749999999999999E-2</v>
      </c>
      <c r="R21" s="126">
        <v>34</v>
      </c>
      <c r="S21" s="127">
        <f>R21/E21</f>
        <v>0.21249999999999999</v>
      </c>
      <c r="U21" s="651">
        <f t="shared" si="0"/>
        <v>1</v>
      </c>
      <c r="X21" s="169">
        <f>VLOOKUP(B21,'2324 Funding Detail'!$A$4:$M$20,13,(FALSE))</f>
        <v>165.16666666666669</v>
      </c>
      <c r="Y21" s="169">
        <f t="shared" si="1"/>
        <v>5.1666666666666856</v>
      </c>
    </row>
    <row r="22" spans="2:25" x14ac:dyDescent="0.25">
      <c r="X22" s="169"/>
      <c r="Y22" s="169"/>
    </row>
    <row r="23" spans="2:25" ht="13" x14ac:dyDescent="0.3">
      <c r="E23" s="599">
        <f>SUM(E5:E21)</f>
        <v>1763</v>
      </c>
      <c r="F23" s="169">
        <f>SUM(F5:F22)</f>
        <v>312</v>
      </c>
      <c r="G23" s="609">
        <f>SUM(G5:G21)</f>
        <v>2.1684855166819701</v>
      </c>
      <c r="H23" s="169">
        <f>SUM(H5:H22)</f>
        <v>824</v>
      </c>
      <c r="I23" s="609">
        <f>SUM(I5:I21)</f>
        <v>6.1674589954817707</v>
      </c>
      <c r="J23" s="169">
        <f>SUM(J5:J22)</f>
        <v>104</v>
      </c>
      <c r="K23" s="609">
        <f>SUM(K5:K21)</f>
        <v>4.7537685761070589</v>
      </c>
      <c r="L23" s="169">
        <f>SUM(L5:L22)</f>
        <v>188</v>
      </c>
      <c r="M23" s="609">
        <f>SUM(M5:M21)</f>
        <v>1.4283037842867372</v>
      </c>
      <c r="N23" s="169">
        <f>SUM(N5:N22)</f>
        <v>96</v>
      </c>
      <c r="O23" s="609">
        <f>SUM(O5:O21)</f>
        <v>0.72785736952436064</v>
      </c>
      <c r="P23" s="169">
        <f>SUM(P5:P22)</f>
        <v>139</v>
      </c>
      <c r="Q23" s="609">
        <f>SUM(Q5:Q21)</f>
        <v>1.009107255847393</v>
      </c>
      <c r="R23" s="169">
        <f>SUM(R5:R22)</f>
        <v>100</v>
      </c>
      <c r="S23" s="609">
        <f>SUM(S5:S21)</f>
        <v>0.74501850207070874</v>
      </c>
    </row>
    <row r="24" spans="2:25" ht="13" x14ac:dyDescent="0.3">
      <c r="E24" s="599">
        <f>SUM(F24,H24,J24,L24,N24,P24,R24)</f>
        <v>2103</v>
      </c>
      <c r="F24" s="169">
        <f>F23</f>
        <v>312</v>
      </c>
      <c r="G24" s="609">
        <f>F24/E24</f>
        <v>0.14835948644793154</v>
      </c>
      <c r="H24" s="169">
        <f>H23</f>
        <v>824</v>
      </c>
      <c r="I24" s="609">
        <f>H24/E24</f>
        <v>0.39182120779838325</v>
      </c>
      <c r="J24" s="169">
        <f>J23+X9+X15+X16+X17</f>
        <v>444.00000000000006</v>
      </c>
      <c r="K24" s="609">
        <f>J24/E24</f>
        <v>0.21112696148359489</v>
      </c>
      <c r="L24" s="169">
        <f>L23</f>
        <v>188</v>
      </c>
      <c r="M24" s="609">
        <f>L24/E24</f>
        <v>8.9396100808369003E-2</v>
      </c>
      <c r="N24" s="169">
        <f>N23</f>
        <v>96</v>
      </c>
      <c r="O24" s="609">
        <f>N24/E24</f>
        <v>4.5649072753209702E-2</v>
      </c>
      <c r="P24" s="169">
        <f>P23</f>
        <v>139</v>
      </c>
      <c r="Q24" s="609">
        <f>P24/E24</f>
        <v>6.6096053257251541E-2</v>
      </c>
      <c r="R24" s="169">
        <f>R23</f>
        <v>100</v>
      </c>
      <c r="S24" s="168">
        <f>R24/E24</f>
        <v>4.7551117451260103E-2</v>
      </c>
    </row>
    <row r="25" spans="2:25" ht="13" x14ac:dyDescent="0.3">
      <c r="B25" s="167"/>
      <c r="C25" s="109"/>
      <c r="D25" s="109"/>
      <c r="E25" s="109"/>
      <c r="F25" s="612">
        <f>F24/$E$24</f>
        <v>0.14835948644793154</v>
      </c>
      <c r="G25" s="612"/>
      <c r="H25" s="612">
        <f>H24/$E$24</f>
        <v>0.39182120779838325</v>
      </c>
      <c r="I25" s="612"/>
      <c r="J25" s="612">
        <f>J24/$E$24</f>
        <v>0.21112696148359489</v>
      </c>
      <c r="K25" s="612"/>
      <c r="L25" s="612">
        <f>L24/$E$24</f>
        <v>8.9396100808369003E-2</v>
      </c>
      <c r="M25" s="612"/>
      <c r="N25" s="612">
        <f>N24/$E$24</f>
        <v>4.5649072753209702E-2</v>
      </c>
      <c r="O25" s="612"/>
      <c r="P25" s="612">
        <f>P24/$E$24</f>
        <v>6.6096053257251541E-2</v>
      </c>
      <c r="Q25" s="612"/>
      <c r="R25" s="612">
        <f>R24/$E$24</f>
        <v>4.7551117451260103E-2</v>
      </c>
      <c r="S25" s="109"/>
    </row>
    <row r="26" spans="2:25" x14ac:dyDescent="0.25">
      <c r="B26" s="109"/>
      <c r="C26" s="109"/>
      <c r="D26" s="109"/>
      <c r="E26" s="109" t="s">
        <v>1</v>
      </c>
      <c r="F26" s="129">
        <f>F25-F51</f>
        <v>-1.7251377477688179E-2</v>
      </c>
      <c r="G26" s="129"/>
      <c r="H26" s="129">
        <f>H25-H51</f>
        <v>2.8273035036737615E-2</v>
      </c>
      <c r="I26" s="129"/>
      <c r="J26" s="129">
        <f>J25-J51</f>
        <v>-6.6206559000902832E-3</v>
      </c>
      <c r="K26" s="129"/>
      <c r="L26" s="129">
        <f>L25-L51</f>
        <v>2.3633645111214158E-3</v>
      </c>
      <c r="M26" s="129"/>
      <c r="N26" s="129">
        <f>N25-N51</f>
        <v>-2.0945997298518343E-3</v>
      </c>
      <c r="O26" s="129"/>
      <c r="P26" s="129">
        <f>P25-P51</f>
        <v>-6.0167853890393252E-3</v>
      </c>
      <c r="Q26" s="129"/>
      <c r="R26" s="129">
        <f>R25-R51</f>
        <v>1.7967646549927954E-3</v>
      </c>
      <c r="S26" s="109"/>
    </row>
    <row r="28" spans="2:25" ht="13" x14ac:dyDescent="0.3">
      <c r="B28" s="167" t="s">
        <v>742</v>
      </c>
      <c r="C28" s="109"/>
      <c r="D28" s="109"/>
      <c r="E28" s="109"/>
      <c r="F28" s="109"/>
      <c r="G28" s="109"/>
      <c r="H28" s="109"/>
      <c r="I28" s="109"/>
      <c r="J28" s="109"/>
      <c r="K28" s="109"/>
      <c r="L28" s="109"/>
      <c r="M28" s="109"/>
      <c r="N28" s="109"/>
      <c r="O28" s="109"/>
      <c r="P28" s="109"/>
      <c r="Q28" s="109"/>
      <c r="R28" s="109"/>
      <c r="S28" s="109"/>
    </row>
    <row r="29" spans="2:25" x14ac:dyDescent="0.25">
      <c r="B29" s="109"/>
      <c r="C29" s="109"/>
      <c r="D29" s="109"/>
      <c r="E29" s="109"/>
      <c r="F29" s="109"/>
      <c r="G29" s="109"/>
      <c r="H29" s="109"/>
      <c r="I29" s="109"/>
      <c r="J29" s="109"/>
      <c r="K29" s="109"/>
      <c r="L29" s="109"/>
      <c r="M29" s="109"/>
      <c r="N29" s="109"/>
      <c r="O29" s="109"/>
      <c r="P29" s="109"/>
      <c r="Q29" s="109"/>
      <c r="R29" s="109"/>
      <c r="S29" s="109"/>
      <c r="X29" s="109" t="s">
        <v>306</v>
      </c>
    </row>
    <row r="30" spans="2:25" ht="37.5" x14ac:dyDescent="0.25">
      <c r="B30" s="109"/>
      <c r="C30" s="114" t="s">
        <v>49</v>
      </c>
      <c r="D30" s="114" t="s">
        <v>50</v>
      </c>
      <c r="E30" s="115" t="s">
        <v>257</v>
      </c>
      <c r="F30" s="116" t="s">
        <v>229</v>
      </c>
      <c r="G30" s="117" t="s">
        <v>280</v>
      </c>
      <c r="H30" s="116" t="s">
        <v>230</v>
      </c>
      <c r="I30" s="117" t="s">
        <v>290</v>
      </c>
      <c r="J30" s="116" t="s">
        <v>231</v>
      </c>
      <c r="K30" s="117" t="s">
        <v>291</v>
      </c>
      <c r="L30" s="116" t="s">
        <v>232</v>
      </c>
      <c r="M30" s="117" t="s">
        <v>292</v>
      </c>
      <c r="N30" s="118" t="s">
        <v>233</v>
      </c>
      <c r="O30" s="119" t="s">
        <v>293</v>
      </c>
      <c r="P30" s="116" t="s">
        <v>234</v>
      </c>
      <c r="Q30" s="117" t="s">
        <v>294</v>
      </c>
      <c r="R30" s="118" t="s">
        <v>235</v>
      </c>
      <c r="S30" s="119" t="s">
        <v>295</v>
      </c>
      <c r="X30" s="367" t="s">
        <v>743</v>
      </c>
      <c r="Y30" s="109" t="s">
        <v>1</v>
      </c>
    </row>
    <row r="31" spans="2:25" ht="20.5" x14ac:dyDescent="0.25">
      <c r="B31" s="68">
        <v>9257010</v>
      </c>
      <c r="C31" s="166" t="s">
        <v>439</v>
      </c>
      <c r="D31" s="121">
        <v>4</v>
      </c>
      <c r="E31" s="597">
        <v>98</v>
      </c>
      <c r="F31" s="123">
        <v>6</v>
      </c>
      <c r="G31" s="124">
        <f>F31/E31</f>
        <v>6.1224489795918366E-2</v>
      </c>
      <c r="H31" s="125">
        <v>42</v>
      </c>
      <c r="I31" s="124">
        <f>H31/E31</f>
        <v>0.42857142857142855</v>
      </c>
      <c r="J31" s="125">
        <v>7</v>
      </c>
      <c r="K31" s="124">
        <f>J31/E31</f>
        <v>7.1428571428571425E-2</v>
      </c>
      <c r="L31" s="125">
        <v>13</v>
      </c>
      <c r="M31" s="124">
        <f>L31/E31</f>
        <v>0.1326530612244898</v>
      </c>
      <c r="N31" s="126">
        <v>8</v>
      </c>
      <c r="O31" s="127">
        <f>N31/E31</f>
        <v>8.1632653061224483E-2</v>
      </c>
      <c r="P31" s="125">
        <v>11</v>
      </c>
      <c r="Q31" s="124">
        <f>P31/E31</f>
        <v>0.11224489795918367</v>
      </c>
      <c r="R31" s="126">
        <v>11</v>
      </c>
      <c r="S31" s="127">
        <f>R31/E31</f>
        <v>0.11224489795918367</v>
      </c>
      <c r="U31" s="598">
        <f>G31+I31+K31+M31+O31+Q31+S31</f>
        <v>1</v>
      </c>
      <c r="X31" s="169">
        <f>VLOOKUP(B31,'2223 Funding Detail'!$A$4:$M$20,13,(FALSE))</f>
        <v>115.33333333333333</v>
      </c>
      <c r="Y31" s="169">
        <f>X31-E31</f>
        <v>17.333333333333329</v>
      </c>
    </row>
    <row r="32" spans="2:25" ht="20.5" x14ac:dyDescent="0.25">
      <c r="B32" s="68">
        <v>9257005</v>
      </c>
      <c r="C32" s="166" t="s">
        <v>63</v>
      </c>
      <c r="D32" s="121" t="s">
        <v>451</v>
      </c>
      <c r="E32" s="597">
        <v>86</v>
      </c>
      <c r="F32" s="123">
        <v>5</v>
      </c>
      <c r="G32" s="124">
        <f>F32/E32</f>
        <v>5.8139534883720929E-2</v>
      </c>
      <c r="H32" s="125">
        <v>33</v>
      </c>
      <c r="I32" s="124">
        <f>H32/E32</f>
        <v>0.38372093023255816</v>
      </c>
      <c r="J32" s="125">
        <v>8</v>
      </c>
      <c r="K32" s="124">
        <f>J32/E32</f>
        <v>9.3023255813953487E-2</v>
      </c>
      <c r="L32" s="125">
        <v>12</v>
      </c>
      <c r="M32" s="124">
        <f>L32/E32</f>
        <v>0.13953488372093023</v>
      </c>
      <c r="N32" s="126">
        <v>10</v>
      </c>
      <c r="O32" s="127">
        <f>N32/E32</f>
        <v>0.11627906976744186</v>
      </c>
      <c r="P32" s="125">
        <v>13</v>
      </c>
      <c r="Q32" s="124">
        <f>P32/E32</f>
        <v>0.15116279069767441</v>
      </c>
      <c r="R32" s="126">
        <v>5</v>
      </c>
      <c r="S32" s="127">
        <f>R32/E32</f>
        <v>5.8139534883720929E-2</v>
      </c>
      <c r="U32" s="598">
        <f t="shared" ref="U32:U47" si="2">G32+I32+K32+M32+O32+Q32+S32</f>
        <v>1.0000000000000002</v>
      </c>
      <c r="X32" s="169">
        <f>VLOOKUP(B32,'2223 Funding Detail'!$A$4:$M$20,13,(FALSE))</f>
        <v>88.583333333333343</v>
      </c>
      <c r="Y32" s="169">
        <f t="shared" ref="Y32:Y47" si="3">X32-E32</f>
        <v>2.5833333333333428</v>
      </c>
    </row>
    <row r="33" spans="2:25" ht="20.5" x14ac:dyDescent="0.25">
      <c r="B33" s="68">
        <v>9257025</v>
      </c>
      <c r="C33" s="166" t="s">
        <v>64</v>
      </c>
      <c r="D33" s="121">
        <v>4</v>
      </c>
      <c r="E33" s="597">
        <v>79</v>
      </c>
      <c r="F33" s="123">
        <v>11</v>
      </c>
      <c r="G33" s="124">
        <f>F33/E33</f>
        <v>0.13924050632911392</v>
      </c>
      <c r="H33" s="125">
        <v>37</v>
      </c>
      <c r="I33" s="124">
        <f>H33/E33</f>
        <v>0.46835443037974683</v>
      </c>
      <c r="J33" s="125">
        <v>3</v>
      </c>
      <c r="K33" s="124">
        <f>J33/E33</f>
        <v>3.7974683544303799E-2</v>
      </c>
      <c r="L33" s="125">
        <v>9</v>
      </c>
      <c r="M33" s="124">
        <f>L33/E33</f>
        <v>0.11392405063291139</v>
      </c>
      <c r="N33" s="126">
        <v>3</v>
      </c>
      <c r="O33" s="127">
        <f>N33/E33</f>
        <v>3.7974683544303799E-2</v>
      </c>
      <c r="P33" s="125">
        <v>12</v>
      </c>
      <c r="Q33" s="124">
        <f>P33/E33</f>
        <v>0.15189873417721519</v>
      </c>
      <c r="R33" s="126">
        <v>4</v>
      </c>
      <c r="S33" s="127">
        <f>R33/E33</f>
        <v>5.0632911392405063E-2</v>
      </c>
      <c r="U33" s="598">
        <f t="shared" si="2"/>
        <v>1</v>
      </c>
      <c r="X33" s="169">
        <f>VLOOKUP(B33,'2223 Funding Detail'!$A$4:$M$20,13,(FALSE))</f>
        <v>84.416666666666671</v>
      </c>
      <c r="Y33" s="169">
        <f t="shared" si="3"/>
        <v>5.4166666666666714</v>
      </c>
    </row>
    <row r="34" spans="2:25" ht="20.5" x14ac:dyDescent="0.25">
      <c r="B34" s="68">
        <v>9257024</v>
      </c>
      <c r="C34" s="166" t="s">
        <v>66</v>
      </c>
      <c r="D34" s="121">
        <v>4</v>
      </c>
      <c r="E34" s="597">
        <v>84</v>
      </c>
      <c r="F34" s="125">
        <v>6</v>
      </c>
      <c r="G34" s="124">
        <f>F34/E34</f>
        <v>7.1428571428571425E-2</v>
      </c>
      <c r="H34" s="125">
        <v>43</v>
      </c>
      <c r="I34" s="124">
        <f>H34/E34</f>
        <v>0.51190476190476186</v>
      </c>
      <c r="J34" s="125">
        <v>2</v>
      </c>
      <c r="K34" s="124">
        <f>J34/E34</f>
        <v>2.3809523809523808E-2</v>
      </c>
      <c r="L34" s="125">
        <v>15</v>
      </c>
      <c r="M34" s="124">
        <f>L34/E34</f>
        <v>0.17857142857142858</v>
      </c>
      <c r="N34" s="126">
        <v>7</v>
      </c>
      <c r="O34" s="127">
        <f>N34/E34</f>
        <v>8.3333333333333329E-2</v>
      </c>
      <c r="P34" s="125">
        <v>6</v>
      </c>
      <c r="Q34" s="124">
        <f>P34/E34</f>
        <v>7.1428571428571425E-2</v>
      </c>
      <c r="R34" s="126">
        <v>5</v>
      </c>
      <c r="S34" s="127">
        <f>R34/E34</f>
        <v>5.9523809523809521E-2</v>
      </c>
      <c r="U34" s="598">
        <f t="shared" si="2"/>
        <v>1</v>
      </c>
      <c r="X34" s="169">
        <f>VLOOKUP(B34,'2223 Funding Detail'!$A$4:$M$20,13,(FALSE))</f>
        <v>86.333333333333343</v>
      </c>
      <c r="Y34" s="169">
        <f t="shared" si="3"/>
        <v>2.3333333333333428</v>
      </c>
    </row>
    <row r="35" spans="2:25" ht="20.5" x14ac:dyDescent="0.25">
      <c r="B35" s="68">
        <v>9257031</v>
      </c>
      <c r="C35" s="166" t="s">
        <v>84</v>
      </c>
      <c r="D35" s="121" t="s">
        <v>452</v>
      </c>
      <c r="E35" s="597">
        <f>F35+H35+J35+L35+N35+P35+R35</f>
        <v>0</v>
      </c>
      <c r="F35" s="125">
        <v>0</v>
      </c>
      <c r="G35" s="124">
        <v>0</v>
      </c>
      <c r="H35" s="125">
        <v>0</v>
      </c>
      <c r="I35" s="124">
        <v>0</v>
      </c>
      <c r="J35" s="125">
        <v>0</v>
      </c>
      <c r="K35" s="124">
        <v>1</v>
      </c>
      <c r="L35" s="125">
        <v>0</v>
      </c>
      <c r="M35" s="124">
        <v>0</v>
      </c>
      <c r="N35" s="126">
        <v>0</v>
      </c>
      <c r="O35" s="127">
        <v>0</v>
      </c>
      <c r="P35" s="125">
        <v>0</v>
      </c>
      <c r="Q35" s="124">
        <v>0</v>
      </c>
      <c r="R35" s="126">
        <v>0</v>
      </c>
      <c r="S35" s="127">
        <v>0</v>
      </c>
      <c r="U35" s="598">
        <f t="shared" si="2"/>
        <v>1</v>
      </c>
      <c r="X35" s="169">
        <f>VLOOKUP(B35,'2223 Funding Detail'!$A$4:$M$20,13,(FALSE))</f>
        <v>80.416666666666671</v>
      </c>
      <c r="Y35" s="169">
        <f t="shared" si="3"/>
        <v>80.416666666666671</v>
      </c>
    </row>
    <row r="36" spans="2:25" ht="30.5" x14ac:dyDescent="0.25">
      <c r="B36" s="68">
        <v>9257033</v>
      </c>
      <c r="C36" s="166" t="s">
        <v>74</v>
      </c>
      <c r="D36" s="121" t="s">
        <v>451</v>
      </c>
      <c r="E36" s="597">
        <v>108</v>
      </c>
      <c r="F36" s="125">
        <v>15</v>
      </c>
      <c r="G36" s="124">
        <f>F36/E36</f>
        <v>0.1388888888888889</v>
      </c>
      <c r="H36" s="125">
        <v>68</v>
      </c>
      <c r="I36" s="124">
        <f>H36/E36</f>
        <v>0.62962962962962965</v>
      </c>
      <c r="J36" s="125">
        <v>5</v>
      </c>
      <c r="K36" s="124">
        <f>J36/E36</f>
        <v>4.6296296296296294E-2</v>
      </c>
      <c r="L36" s="125">
        <v>11</v>
      </c>
      <c r="M36" s="124">
        <f>L36/E36</f>
        <v>0.10185185185185185</v>
      </c>
      <c r="N36" s="126">
        <v>4</v>
      </c>
      <c r="O36" s="127">
        <f>N36/E36</f>
        <v>3.7037037037037035E-2</v>
      </c>
      <c r="P36" s="125">
        <v>4</v>
      </c>
      <c r="Q36" s="124">
        <f>P36/E36</f>
        <v>3.7037037037037035E-2</v>
      </c>
      <c r="R36" s="126">
        <v>1</v>
      </c>
      <c r="S36" s="127">
        <f>R36/E36</f>
        <v>9.2592592592592587E-3</v>
      </c>
      <c r="U36" s="598">
        <f t="shared" si="2"/>
        <v>1</v>
      </c>
      <c r="X36" s="169">
        <f>VLOOKUP(B36,'2223 Funding Detail'!$A$4:$M$20,13,(FALSE))</f>
        <v>106.16666666666669</v>
      </c>
      <c r="Y36" s="169">
        <f t="shared" si="3"/>
        <v>-1.8333333333333144</v>
      </c>
    </row>
    <row r="37" spans="2:25" ht="20.5" x14ac:dyDescent="0.25">
      <c r="B37" s="68">
        <v>9257008</v>
      </c>
      <c r="C37" s="166" t="s">
        <v>67</v>
      </c>
      <c r="D37" s="121">
        <v>4</v>
      </c>
      <c r="E37" s="597">
        <v>100</v>
      </c>
      <c r="F37" s="125">
        <v>11</v>
      </c>
      <c r="G37" s="124">
        <f>F37/E37</f>
        <v>0.11</v>
      </c>
      <c r="H37" s="125">
        <v>64</v>
      </c>
      <c r="I37" s="124">
        <f>H37/E37</f>
        <v>0.64</v>
      </c>
      <c r="J37" s="125">
        <v>7</v>
      </c>
      <c r="K37" s="124">
        <f>J37/E37</f>
        <v>7.0000000000000007E-2</v>
      </c>
      <c r="L37" s="125">
        <v>9</v>
      </c>
      <c r="M37" s="124">
        <f>L37/E37</f>
        <v>0.09</v>
      </c>
      <c r="N37" s="128">
        <v>0</v>
      </c>
      <c r="O37" s="127">
        <f>N37/E37</f>
        <v>0</v>
      </c>
      <c r="P37" s="125">
        <v>9</v>
      </c>
      <c r="Q37" s="124">
        <f>P37/E37</f>
        <v>0.09</v>
      </c>
      <c r="R37" s="128">
        <v>0</v>
      </c>
      <c r="S37" s="127">
        <f>R37/E37</f>
        <v>0</v>
      </c>
      <c r="U37" s="598">
        <f t="shared" si="2"/>
        <v>1</v>
      </c>
      <c r="X37" s="169">
        <f>VLOOKUP(B37,'2223 Funding Detail'!$A$4:$M$20,13,(FALSE))</f>
        <v>100.16666666666667</v>
      </c>
      <c r="Y37" s="169">
        <f t="shared" si="3"/>
        <v>0.1666666666666714</v>
      </c>
    </row>
    <row r="38" spans="2:25" ht="20.5" x14ac:dyDescent="0.25">
      <c r="B38" s="68">
        <v>9257034</v>
      </c>
      <c r="C38" s="166" t="s">
        <v>75</v>
      </c>
      <c r="D38" s="121" t="s">
        <v>451</v>
      </c>
      <c r="E38" s="597">
        <v>108</v>
      </c>
      <c r="F38" s="125">
        <v>48</v>
      </c>
      <c r="G38" s="124">
        <f>F38/E38</f>
        <v>0.44444444444444442</v>
      </c>
      <c r="H38" s="125">
        <v>35</v>
      </c>
      <c r="I38" s="124">
        <f>H38/E38</f>
        <v>0.32407407407407407</v>
      </c>
      <c r="J38" s="125">
        <v>10</v>
      </c>
      <c r="K38" s="124">
        <f>J38/E38</f>
        <v>9.2592592592592587E-2</v>
      </c>
      <c r="L38" s="125">
        <v>5</v>
      </c>
      <c r="M38" s="124">
        <f>L38/E38</f>
        <v>4.6296296296296294E-2</v>
      </c>
      <c r="N38" s="126">
        <v>3</v>
      </c>
      <c r="O38" s="127">
        <f>N38/E38</f>
        <v>2.7777777777777776E-2</v>
      </c>
      <c r="P38" s="125">
        <v>6</v>
      </c>
      <c r="Q38" s="124">
        <f>P38/E38</f>
        <v>5.5555555555555552E-2</v>
      </c>
      <c r="R38" s="126">
        <v>1</v>
      </c>
      <c r="S38" s="127">
        <f>R38/E38</f>
        <v>9.2592592592592587E-3</v>
      </c>
      <c r="U38" s="598">
        <f t="shared" si="2"/>
        <v>1</v>
      </c>
      <c r="X38" s="169">
        <f>VLOOKUP(B38,'2223 Funding Detail'!$A$4:$M$20,13,(FALSE))</f>
        <v>122.16666666666667</v>
      </c>
      <c r="Y38" s="169">
        <f t="shared" si="3"/>
        <v>14.166666666666671</v>
      </c>
    </row>
    <row r="39" spans="2:25" ht="20.5" x14ac:dyDescent="0.25">
      <c r="B39" s="68">
        <v>9257002</v>
      </c>
      <c r="C39" s="166" t="s">
        <v>68</v>
      </c>
      <c r="D39" s="121">
        <v>4</v>
      </c>
      <c r="E39" s="597">
        <v>149</v>
      </c>
      <c r="F39" s="125">
        <v>50</v>
      </c>
      <c r="G39" s="124">
        <f>F39/E39</f>
        <v>0.33557046979865773</v>
      </c>
      <c r="H39" s="125">
        <v>58</v>
      </c>
      <c r="I39" s="124">
        <f>H39/E39</f>
        <v>0.38926174496644295</v>
      </c>
      <c r="J39" s="125">
        <v>20</v>
      </c>
      <c r="K39" s="124">
        <f>J39/E39</f>
        <v>0.13422818791946309</v>
      </c>
      <c r="L39" s="125">
        <v>5</v>
      </c>
      <c r="M39" s="124">
        <f>L39/E39</f>
        <v>3.3557046979865772E-2</v>
      </c>
      <c r="N39" s="126">
        <v>3</v>
      </c>
      <c r="O39" s="127">
        <f>N39/E39</f>
        <v>2.0134228187919462E-2</v>
      </c>
      <c r="P39" s="125">
        <v>11</v>
      </c>
      <c r="Q39" s="124">
        <f>P39/E39</f>
        <v>7.3825503355704702E-2</v>
      </c>
      <c r="R39" s="126">
        <v>2</v>
      </c>
      <c r="S39" s="127">
        <f>R39/E39</f>
        <v>1.3422818791946308E-2</v>
      </c>
      <c r="U39" s="598">
        <f t="shared" si="2"/>
        <v>1</v>
      </c>
      <c r="X39" s="169">
        <f>VLOOKUP(B39,'2223 Funding Detail'!$A$4:$M$20,13,(FALSE))</f>
        <v>155.66666666666669</v>
      </c>
      <c r="Y39" s="169">
        <f t="shared" si="3"/>
        <v>6.6666666666666856</v>
      </c>
    </row>
    <row r="40" spans="2:25" ht="20.5" x14ac:dyDescent="0.25">
      <c r="B40" s="68">
        <v>9257009</v>
      </c>
      <c r="C40" s="166" t="s">
        <v>334</v>
      </c>
      <c r="D40" s="121">
        <v>4</v>
      </c>
      <c r="E40" s="597">
        <f>128+58</f>
        <v>186</v>
      </c>
      <c r="F40" s="125">
        <f>27+4</f>
        <v>31</v>
      </c>
      <c r="G40" s="124">
        <f>F40/E40</f>
        <v>0.16666666666666666</v>
      </c>
      <c r="H40" s="125">
        <f>76+23</f>
        <v>99</v>
      </c>
      <c r="I40" s="124">
        <f>H40/E40</f>
        <v>0.532258064516129</v>
      </c>
      <c r="J40" s="125">
        <f>11+0</f>
        <v>11</v>
      </c>
      <c r="K40" s="124">
        <f>J40/E40</f>
        <v>5.9139784946236562E-2</v>
      </c>
      <c r="L40" s="125">
        <f>5+9</f>
        <v>14</v>
      </c>
      <c r="M40" s="124">
        <f>L40/E40</f>
        <v>7.5268817204301078E-2</v>
      </c>
      <c r="N40" s="126">
        <f>1+6</f>
        <v>7</v>
      </c>
      <c r="O40" s="127">
        <f>N40/E40</f>
        <v>3.7634408602150539E-2</v>
      </c>
      <c r="P40" s="125">
        <f>8+7</f>
        <v>15</v>
      </c>
      <c r="Q40" s="124">
        <f>P40/E40</f>
        <v>8.0645161290322578E-2</v>
      </c>
      <c r="R40" s="126">
        <f>0+9</f>
        <v>9</v>
      </c>
      <c r="S40" s="127">
        <f>R40/E40</f>
        <v>4.8387096774193547E-2</v>
      </c>
      <c r="U40" s="598">
        <f t="shared" si="2"/>
        <v>1</v>
      </c>
      <c r="X40" s="169">
        <f>VLOOKUP(B40,'2223 Funding Detail'!$A$4:$M$20,13,(FALSE))</f>
        <v>198.91666666666669</v>
      </c>
      <c r="Y40" s="169">
        <f t="shared" si="3"/>
        <v>12.916666666666686</v>
      </c>
    </row>
    <row r="41" spans="2:25" ht="20.5" x14ac:dyDescent="0.25">
      <c r="B41" s="68">
        <v>9257029</v>
      </c>
      <c r="C41" s="166" t="s">
        <v>278</v>
      </c>
      <c r="D41" s="121" t="s">
        <v>452</v>
      </c>
      <c r="E41" s="597">
        <f>F41+H41+J41+L41+N41+P41+R41</f>
        <v>0</v>
      </c>
      <c r="F41" s="125">
        <v>0</v>
      </c>
      <c r="G41" s="124">
        <v>0</v>
      </c>
      <c r="H41" s="125">
        <v>0</v>
      </c>
      <c r="I41" s="124">
        <v>0</v>
      </c>
      <c r="J41" s="125">
        <v>0</v>
      </c>
      <c r="K41" s="124">
        <v>1</v>
      </c>
      <c r="L41" s="125">
        <v>0</v>
      </c>
      <c r="M41" s="124">
        <v>0</v>
      </c>
      <c r="N41" s="126">
        <v>0</v>
      </c>
      <c r="O41" s="127">
        <v>0</v>
      </c>
      <c r="P41" s="125">
        <v>0</v>
      </c>
      <c r="Q41" s="124">
        <v>0</v>
      </c>
      <c r="R41" s="126">
        <v>0</v>
      </c>
      <c r="S41" s="127">
        <v>0</v>
      </c>
      <c r="U41" s="598">
        <f t="shared" si="2"/>
        <v>1</v>
      </c>
      <c r="X41" s="169">
        <f>VLOOKUP(B41,'2223 Funding Detail'!$A$4:$M$20,13,(FALSE))</f>
        <v>78.583333333333343</v>
      </c>
      <c r="Y41" s="169">
        <f t="shared" si="3"/>
        <v>78.583333333333343</v>
      </c>
    </row>
    <row r="42" spans="2:25" ht="20.5" x14ac:dyDescent="0.25">
      <c r="B42" s="68">
        <v>9257032</v>
      </c>
      <c r="C42" s="166" t="s">
        <v>266</v>
      </c>
      <c r="D42" s="121" t="s">
        <v>452</v>
      </c>
      <c r="E42" s="597">
        <f>F42+H42+J42+L42+N42+P42+R42</f>
        <v>0</v>
      </c>
      <c r="F42" s="125">
        <v>0</v>
      </c>
      <c r="G42" s="124">
        <v>0</v>
      </c>
      <c r="H42" s="125">
        <v>0</v>
      </c>
      <c r="I42" s="124">
        <v>0</v>
      </c>
      <c r="J42" s="125">
        <v>0</v>
      </c>
      <c r="K42" s="124">
        <v>1</v>
      </c>
      <c r="L42" s="125">
        <v>0</v>
      </c>
      <c r="M42" s="124">
        <v>0</v>
      </c>
      <c r="N42" s="126">
        <v>0</v>
      </c>
      <c r="O42" s="127">
        <v>0</v>
      </c>
      <c r="P42" s="125">
        <v>0</v>
      </c>
      <c r="Q42" s="124">
        <v>0</v>
      </c>
      <c r="R42" s="126">
        <v>0</v>
      </c>
      <c r="S42" s="127">
        <v>0</v>
      </c>
      <c r="U42" s="598">
        <f t="shared" si="2"/>
        <v>1</v>
      </c>
      <c r="X42" s="169">
        <f>VLOOKUP(B42,'2223 Funding Detail'!$A$4:$M$20,13,(FALSE))</f>
        <v>104</v>
      </c>
      <c r="Y42" s="169">
        <f t="shared" si="3"/>
        <v>104</v>
      </c>
    </row>
    <row r="43" spans="2:25" ht="20.5" x14ac:dyDescent="0.25">
      <c r="B43" s="68">
        <v>9257030</v>
      </c>
      <c r="C43" s="166" t="s">
        <v>268</v>
      </c>
      <c r="D43" s="121" t="s">
        <v>452</v>
      </c>
      <c r="E43" s="597">
        <f>F43+H43+J43+L43+N43+P43+R43</f>
        <v>0</v>
      </c>
      <c r="F43" s="123">
        <v>0</v>
      </c>
      <c r="G43" s="124">
        <v>0</v>
      </c>
      <c r="H43" s="125">
        <v>0</v>
      </c>
      <c r="I43" s="124">
        <v>0</v>
      </c>
      <c r="J43" s="125">
        <v>0</v>
      </c>
      <c r="K43" s="124">
        <v>1</v>
      </c>
      <c r="L43" s="125">
        <v>0</v>
      </c>
      <c r="M43" s="124">
        <v>0</v>
      </c>
      <c r="N43" s="126">
        <v>0</v>
      </c>
      <c r="O43" s="127">
        <v>0</v>
      </c>
      <c r="P43" s="125">
        <v>0</v>
      </c>
      <c r="Q43" s="124">
        <v>0</v>
      </c>
      <c r="R43" s="126">
        <v>0</v>
      </c>
      <c r="S43" s="127">
        <v>0</v>
      </c>
      <c r="U43" s="598">
        <f t="shared" si="2"/>
        <v>1</v>
      </c>
      <c r="X43" s="169">
        <f>VLOOKUP(B43,'2223 Funding Detail'!$A$4:$M$20,13,(FALSE))</f>
        <v>70.833333333333343</v>
      </c>
      <c r="Y43" s="169">
        <f t="shared" si="3"/>
        <v>70.833333333333343</v>
      </c>
    </row>
    <row r="44" spans="2:25" ht="20.5" x14ac:dyDescent="0.25">
      <c r="B44" s="68">
        <v>9257028</v>
      </c>
      <c r="C44" s="166" t="s">
        <v>70</v>
      </c>
      <c r="D44" s="121">
        <v>4</v>
      </c>
      <c r="E44" s="597">
        <v>119</v>
      </c>
      <c r="F44" s="125">
        <v>11</v>
      </c>
      <c r="G44" s="124">
        <f>F44/E44</f>
        <v>9.2436974789915971E-2</v>
      </c>
      <c r="H44" s="123">
        <v>53</v>
      </c>
      <c r="I44" s="124">
        <f>H44/E44</f>
        <v>0.44537815126050423</v>
      </c>
      <c r="J44" s="123">
        <v>9</v>
      </c>
      <c r="K44" s="124">
        <f>J44/E44</f>
        <v>7.5630252100840331E-2</v>
      </c>
      <c r="L44" s="123">
        <v>11</v>
      </c>
      <c r="M44" s="124">
        <f>L44/E44</f>
        <v>9.2436974789915971E-2</v>
      </c>
      <c r="N44" s="126">
        <v>11</v>
      </c>
      <c r="O44" s="127">
        <f>N44/E44</f>
        <v>9.2436974789915971E-2</v>
      </c>
      <c r="P44" s="123">
        <v>9</v>
      </c>
      <c r="Q44" s="124">
        <f>P44/E44</f>
        <v>7.5630252100840331E-2</v>
      </c>
      <c r="R44" s="126">
        <v>15</v>
      </c>
      <c r="S44" s="127">
        <f>R44/E44</f>
        <v>0.12605042016806722</v>
      </c>
      <c r="U44" s="598">
        <f t="shared" si="2"/>
        <v>1</v>
      </c>
      <c r="X44" s="169">
        <f>VLOOKUP(B44,'2223 Funding Detail'!$A$4:$M$20,13,(FALSE))</f>
        <v>129.91666666666669</v>
      </c>
      <c r="Y44" s="169">
        <f t="shared" si="3"/>
        <v>10.916666666666686</v>
      </c>
    </row>
    <row r="45" spans="2:25" ht="20.5" x14ac:dyDescent="0.25">
      <c r="B45" s="68">
        <v>9257021</v>
      </c>
      <c r="C45" s="166" t="s">
        <v>71</v>
      </c>
      <c r="D45" s="121" t="s">
        <v>453</v>
      </c>
      <c r="E45" s="597">
        <v>171</v>
      </c>
      <c r="F45" s="125">
        <v>43</v>
      </c>
      <c r="G45" s="124">
        <f>F45/E45</f>
        <v>0.25146198830409355</v>
      </c>
      <c r="H45" s="125">
        <v>81</v>
      </c>
      <c r="I45" s="124">
        <f>H45/E45</f>
        <v>0.47368421052631576</v>
      </c>
      <c r="J45" s="125">
        <v>16</v>
      </c>
      <c r="K45" s="124">
        <f>J45/E45</f>
        <v>9.3567251461988299E-2</v>
      </c>
      <c r="L45" s="125">
        <v>13</v>
      </c>
      <c r="M45" s="124">
        <f>L45/E45</f>
        <v>7.6023391812865493E-2</v>
      </c>
      <c r="N45" s="126">
        <v>6</v>
      </c>
      <c r="O45" s="127">
        <f>N45/E45</f>
        <v>3.5087719298245612E-2</v>
      </c>
      <c r="P45" s="125">
        <v>10</v>
      </c>
      <c r="Q45" s="124">
        <f>P45/E45</f>
        <v>5.8479532163742687E-2</v>
      </c>
      <c r="R45" s="126">
        <v>2</v>
      </c>
      <c r="S45" s="127">
        <f>R45/E45</f>
        <v>1.1695906432748537E-2</v>
      </c>
      <c r="U45" s="598">
        <f t="shared" si="2"/>
        <v>0.99999999999999989</v>
      </c>
      <c r="X45" s="169">
        <f>VLOOKUP(B45,'2223 Funding Detail'!$A$4:$M$20,13,(FALSE))</f>
        <v>174.25</v>
      </c>
      <c r="Y45" s="169">
        <f t="shared" si="3"/>
        <v>3.25</v>
      </c>
    </row>
    <row r="46" spans="2:25" ht="30.5" x14ac:dyDescent="0.25">
      <c r="B46" s="68">
        <v>9257015</v>
      </c>
      <c r="C46" s="166" t="s">
        <v>72</v>
      </c>
      <c r="D46" s="121" t="s">
        <v>454</v>
      </c>
      <c r="E46" s="597">
        <v>225</v>
      </c>
      <c r="F46" s="125">
        <v>71</v>
      </c>
      <c r="G46" s="124">
        <f>F46/E46</f>
        <v>0.31555555555555553</v>
      </c>
      <c r="H46" s="125">
        <v>87</v>
      </c>
      <c r="I46" s="124">
        <f>H46/E46</f>
        <v>0.38666666666666666</v>
      </c>
      <c r="J46" s="125">
        <v>4</v>
      </c>
      <c r="K46" s="124">
        <f>J46/E46</f>
        <v>1.7777777777777778E-2</v>
      </c>
      <c r="L46" s="125">
        <v>21</v>
      </c>
      <c r="M46" s="124">
        <f>L46/E46</f>
        <v>9.3333333333333338E-2</v>
      </c>
      <c r="N46" s="126">
        <v>4</v>
      </c>
      <c r="O46" s="127">
        <f>N46/E46</f>
        <v>1.7777777777777778E-2</v>
      </c>
      <c r="P46" s="125">
        <v>36</v>
      </c>
      <c r="Q46" s="124">
        <f>P46/E46</f>
        <v>0.16</v>
      </c>
      <c r="R46" s="126">
        <v>2</v>
      </c>
      <c r="S46" s="127">
        <f>R46/E46</f>
        <v>8.8888888888888889E-3</v>
      </c>
      <c r="U46" s="598">
        <f t="shared" si="2"/>
        <v>1</v>
      </c>
      <c r="X46" s="169">
        <f>VLOOKUP(B46,'2223 Funding Detail'!$A$4:$M$20,13,(FALSE))</f>
        <v>226.5</v>
      </c>
      <c r="Y46" s="169">
        <f t="shared" si="3"/>
        <v>1.5</v>
      </c>
    </row>
    <row r="47" spans="2:25" ht="20.5" x14ac:dyDescent="0.25">
      <c r="B47" s="68">
        <v>9257016</v>
      </c>
      <c r="C47" s="166" t="s">
        <v>73</v>
      </c>
      <c r="D47" s="121" t="s">
        <v>454</v>
      </c>
      <c r="E47" s="597">
        <v>163</v>
      </c>
      <c r="F47" s="125">
        <v>25</v>
      </c>
      <c r="G47" s="124">
        <f>F47/E47</f>
        <v>0.15337423312883436</v>
      </c>
      <c r="H47" s="125">
        <v>31</v>
      </c>
      <c r="I47" s="124">
        <f>H47/E47</f>
        <v>0.19018404907975461</v>
      </c>
      <c r="J47" s="125">
        <v>2</v>
      </c>
      <c r="K47" s="124">
        <f>J47/E47</f>
        <v>1.2269938650306749E-2</v>
      </c>
      <c r="L47" s="125">
        <v>37</v>
      </c>
      <c r="M47" s="124">
        <f>L47/E47</f>
        <v>0.22699386503067484</v>
      </c>
      <c r="N47" s="126">
        <v>30</v>
      </c>
      <c r="O47" s="127">
        <f>N47/E47</f>
        <v>0.18404907975460122</v>
      </c>
      <c r="P47" s="125">
        <v>3</v>
      </c>
      <c r="Q47" s="124">
        <f>P47/E47</f>
        <v>1.8404907975460124E-2</v>
      </c>
      <c r="R47" s="126">
        <v>35</v>
      </c>
      <c r="S47" s="127">
        <f>R47/E47</f>
        <v>0.21472392638036811</v>
      </c>
      <c r="U47" s="598">
        <f t="shared" si="2"/>
        <v>1</v>
      </c>
      <c r="X47" s="169">
        <f>VLOOKUP(B47,'2223 Funding Detail'!$A$4:$M$20,13,(FALSE))</f>
        <v>164.75</v>
      </c>
      <c r="Y47" s="169">
        <f t="shared" si="3"/>
        <v>1.75</v>
      </c>
    </row>
    <row r="49" spans="2:19" ht="13" x14ac:dyDescent="0.3">
      <c r="E49" s="599">
        <f>SUM(E31:E48)</f>
        <v>1676</v>
      </c>
      <c r="F49" s="169">
        <f>SUM(F31:F48)</f>
        <v>333</v>
      </c>
      <c r="G49" s="609">
        <f>SUM(G31:G47)</f>
        <v>2.3384323240143821</v>
      </c>
      <c r="H49" s="169">
        <f>SUM(H31:H48)</f>
        <v>731</v>
      </c>
      <c r="I49" s="609">
        <f>SUM(I31:I47)</f>
        <v>5.8036881418080135</v>
      </c>
      <c r="J49" s="169">
        <f>SUM(J31:J48)</f>
        <v>104</v>
      </c>
      <c r="K49" s="609">
        <f>SUM(K31:K47)</f>
        <v>4.8277381163418545</v>
      </c>
      <c r="L49" s="169">
        <f>SUM(L31:L48)</f>
        <v>175</v>
      </c>
      <c r="M49" s="609">
        <f>SUM(M31:M47)</f>
        <v>1.4004450014488645</v>
      </c>
      <c r="N49" s="169">
        <f>SUM(N31:N48)</f>
        <v>96</v>
      </c>
      <c r="O49" s="609">
        <f>SUM(O31:O47)</f>
        <v>0.77115474293172892</v>
      </c>
      <c r="P49" s="169">
        <f>SUM(P31:P48)</f>
        <v>145</v>
      </c>
      <c r="Q49" s="609">
        <f>SUM(Q31:Q47)</f>
        <v>1.1363129437413075</v>
      </c>
      <c r="R49" s="169">
        <f>SUM(R31:R48)</f>
        <v>92</v>
      </c>
    </row>
    <row r="50" spans="2:19" ht="13" x14ac:dyDescent="0.3">
      <c r="E50" s="599">
        <f>SUM(F50:S50)</f>
        <v>2010.7376539594604</v>
      </c>
      <c r="F50" s="169">
        <f>F49</f>
        <v>333</v>
      </c>
      <c r="G50" s="609">
        <f>G49/18</f>
        <v>0.1299129068896879</v>
      </c>
      <c r="H50" s="169">
        <f>H49</f>
        <v>731</v>
      </c>
      <c r="I50" s="609">
        <f>I49/18</f>
        <v>0.32242711898933407</v>
      </c>
      <c r="J50" s="169">
        <f>J49+X35+X41+X42+X43</f>
        <v>437.83333333333337</v>
      </c>
      <c r="K50" s="609">
        <f>K49/18</f>
        <v>0.26820767313010302</v>
      </c>
      <c r="L50" s="169">
        <f>L49</f>
        <v>175</v>
      </c>
      <c r="M50" s="609">
        <f>M49/18</f>
        <v>7.780250008049247E-2</v>
      </c>
      <c r="N50" s="169">
        <f>N49</f>
        <v>96</v>
      </c>
      <c r="O50" s="609">
        <f>O49/18</f>
        <v>4.2841930162873826E-2</v>
      </c>
      <c r="P50" s="169">
        <f>P49</f>
        <v>145</v>
      </c>
      <c r="Q50" s="609">
        <f>Q49/18</f>
        <v>6.312849687451709E-2</v>
      </c>
      <c r="R50" s="169">
        <f>R49</f>
        <v>92</v>
      </c>
    </row>
    <row r="51" spans="2:19" x14ac:dyDescent="0.25">
      <c r="C51" s="109"/>
      <c r="D51" s="109"/>
      <c r="E51" s="109"/>
      <c r="F51" s="612">
        <f>F50/$E$50</f>
        <v>0.16561086392561972</v>
      </c>
      <c r="G51" s="612"/>
      <c r="H51" s="612">
        <f>H50/$E$50</f>
        <v>0.36354817276164564</v>
      </c>
      <c r="I51" s="612"/>
      <c r="J51" s="612">
        <f>J50/$E$50</f>
        <v>0.21774761738368517</v>
      </c>
      <c r="K51" s="612"/>
      <c r="L51" s="612">
        <f>L50/$E$50</f>
        <v>8.7032736297247587E-2</v>
      </c>
      <c r="M51" s="612"/>
      <c r="N51" s="612">
        <f>N50/$E$50</f>
        <v>4.7743672483061536E-2</v>
      </c>
      <c r="O51" s="612"/>
      <c r="P51" s="612">
        <f>P50/$E$50</f>
        <v>7.2112838646290867E-2</v>
      </c>
      <c r="Q51" s="612"/>
      <c r="R51" s="612">
        <f>R50/$E$50</f>
        <v>4.5754352796267307E-2</v>
      </c>
      <c r="S51" s="109"/>
    </row>
    <row r="52" spans="2:19" x14ac:dyDescent="0.25">
      <c r="B52" s="109"/>
      <c r="C52" s="109"/>
      <c r="D52" s="109"/>
      <c r="E52" s="109"/>
      <c r="F52" s="129"/>
      <c r="G52" s="129"/>
      <c r="H52" s="129"/>
      <c r="I52" s="129"/>
      <c r="J52" s="129"/>
      <c r="K52" s="129"/>
      <c r="L52" s="129"/>
      <c r="M52" s="129"/>
      <c r="N52" s="129"/>
      <c r="O52" s="129"/>
      <c r="P52" s="129"/>
      <c r="Q52" s="129"/>
      <c r="R52" s="129"/>
      <c r="S52" s="109"/>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B067-F5D0-46BF-A286-D6634BC480EA}">
  <sheetPr>
    <tabColor rgb="FFFFC000"/>
  </sheetPr>
  <dimension ref="B2:Y70"/>
  <sheetViews>
    <sheetView workbookViewId="0">
      <selection activeCell="I5" sqref="I5"/>
    </sheetView>
  </sheetViews>
  <sheetFormatPr defaultRowHeight="12.5" x14ac:dyDescent="0.25"/>
  <cols>
    <col min="5" max="5" width="11.7265625" customWidth="1"/>
    <col min="21" max="21" width="8.7265625" style="2"/>
    <col min="24" max="24" width="10.54296875" bestFit="1" customWidth="1"/>
    <col min="25" max="25" width="8.7265625" style="2"/>
  </cols>
  <sheetData>
    <row r="2" spans="2:25" ht="13" x14ac:dyDescent="0.3">
      <c r="B2" s="167" t="s">
        <v>911</v>
      </c>
      <c r="C2" s="109"/>
      <c r="D2" s="109"/>
      <c r="E2" s="109"/>
      <c r="F2" s="109"/>
      <c r="G2" s="109"/>
      <c r="H2" s="109"/>
      <c r="I2" s="109"/>
      <c r="J2" s="109"/>
      <c r="K2" s="109"/>
      <c r="L2" s="109"/>
      <c r="M2" s="109"/>
      <c r="N2" s="109"/>
      <c r="O2" s="109"/>
      <c r="P2" s="109"/>
      <c r="Q2" s="109"/>
      <c r="R2" s="109"/>
      <c r="S2" s="109"/>
    </row>
    <row r="3" spans="2:25" x14ac:dyDescent="0.25">
      <c r="B3" s="109"/>
      <c r="C3" s="109"/>
      <c r="D3" s="109"/>
      <c r="E3" s="109"/>
      <c r="F3" s="109"/>
      <c r="G3" s="109"/>
      <c r="H3" s="109"/>
      <c r="I3" s="109"/>
      <c r="J3" s="109"/>
      <c r="K3" s="109"/>
      <c r="L3" s="109"/>
      <c r="M3" s="109"/>
      <c r="N3" s="109"/>
      <c r="O3" s="109"/>
      <c r="P3" s="109"/>
      <c r="Q3" s="109"/>
      <c r="R3" s="109"/>
      <c r="S3" s="109"/>
      <c r="X3" s="109" t="s">
        <v>890</v>
      </c>
    </row>
    <row r="4" spans="2:25" ht="37.5" x14ac:dyDescent="0.25">
      <c r="B4" s="109"/>
      <c r="C4" s="114" t="s">
        <v>49</v>
      </c>
      <c r="D4" s="114" t="s">
        <v>50</v>
      </c>
      <c r="E4" s="115" t="s">
        <v>257</v>
      </c>
      <c r="F4" s="116" t="s">
        <v>229</v>
      </c>
      <c r="G4" s="117" t="s">
        <v>280</v>
      </c>
      <c r="H4" s="116" t="s">
        <v>230</v>
      </c>
      <c r="I4" s="117" t="s">
        <v>290</v>
      </c>
      <c r="J4" s="116" t="s">
        <v>231</v>
      </c>
      <c r="K4" s="117" t="s">
        <v>291</v>
      </c>
      <c r="L4" s="116" t="s">
        <v>232</v>
      </c>
      <c r="M4" s="117" t="s">
        <v>292</v>
      </c>
      <c r="N4" s="118" t="s">
        <v>233</v>
      </c>
      <c r="O4" s="119" t="s">
        <v>293</v>
      </c>
      <c r="P4" s="116" t="s">
        <v>234</v>
      </c>
      <c r="Q4" s="117" t="s">
        <v>294</v>
      </c>
      <c r="R4" s="118" t="s">
        <v>235</v>
      </c>
      <c r="S4" s="119" t="s">
        <v>295</v>
      </c>
      <c r="X4" s="367" t="s">
        <v>743</v>
      </c>
      <c r="Y4" s="109" t="s">
        <v>1</v>
      </c>
    </row>
    <row r="5" spans="2:25" ht="20.5" x14ac:dyDescent="0.25">
      <c r="B5" s="68">
        <v>9257010</v>
      </c>
      <c r="C5" s="166" t="s">
        <v>439</v>
      </c>
      <c r="D5" s="121">
        <v>4</v>
      </c>
      <c r="E5" s="597">
        <v>146</v>
      </c>
      <c r="F5" s="123">
        <v>13</v>
      </c>
      <c r="G5" s="124">
        <f>F5/E5</f>
        <v>8.9041095890410954E-2</v>
      </c>
      <c r="H5" s="125">
        <v>58</v>
      </c>
      <c r="I5" s="124">
        <f>H5/E5</f>
        <v>0.39726027397260272</v>
      </c>
      <c r="J5" s="125">
        <v>7</v>
      </c>
      <c r="K5" s="124">
        <f>J5/E5</f>
        <v>4.7945205479452052E-2</v>
      </c>
      <c r="L5" s="125">
        <v>31</v>
      </c>
      <c r="M5" s="124">
        <f>L5/E5</f>
        <v>0.21232876712328766</v>
      </c>
      <c r="N5" s="126">
        <v>8</v>
      </c>
      <c r="O5" s="127">
        <f>N5/E5</f>
        <v>5.4794520547945202E-2</v>
      </c>
      <c r="P5" s="125">
        <v>14</v>
      </c>
      <c r="Q5" s="124">
        <f>P5/E5</f>
        <v>9.5890410958904104E-2</v>
      </c>
      <c r="R5" s="126">
        <v>15</v>
      </c>
      <c r="S5" s="127">
        <f>R5/E5</f>
        <v>0.10273972602739725</v>
      </c>
      <c r="U5" s="651">
        <f t="shared" ref="U5:U21" si="0">G5+I5+K5+M5+O5+Q5+S5</f>
        <v>0.99999999999999978</v>
      </c>
      <c r="X5" s="169">
        <f>VLOOKUP(B5,'2425 Funding Detail'!$A$4:$M$20,12,(FALSE))</f>
        <v>152.83333333333334</v>
      </c>
      <c r="Y5" s="169">
        <f>X5-E5</f>
        <v>6.8333333333333428</v>
      </c>
    </row>
    <row r="6" spans="2:25" ht="20.5" x14ac:dyDescent="0.25">
      <c r="B6" s="68">
        <v>9257005</v>
      </c>
      <c r="C6" s="166" t="s">
        <v>63</v>
      </c>
      <c r="D6" s="121" t="s">
        <v>451</v>
      </c>
      <c r="E6" s="597">
        <v>71</v>
      </c>
      <c r="F6" s="123">
        <v>4</v>
      </c>
      <c r="G6" s="124">
        <f>F6/E6</f>
        <v>5.6338028169014086E-2</v>
      </c>
      <c r="H6" s="125">
        <v>13</v>
      </c>
      <c r="I6" s="124">
        <f>H6/E6</f>
        <v>0.18309859154929578</v>
      </c>
      <c r="J6" s="125">
        <v>8</v>
      </c>
      <c r="K6" s="124">
        <f>J6/E6</f>
        <v>0.11267605633802817</v>
      </c>
      <c r="L6" s="125">
        <v>13</v>
      </c>
      <c r="M6" s="124">
        <f>L6/E6</f>
        <v>0.18309859154929578</v>
      </c>
      <c r="N6" s="126">
        <v>9</v>
      </c>
      <c r="O6" s="127">
        <f>N6/E6</f>
        <v>0.12676056338028169</v>
      </c>
      <c r="P6" s="125">
        <v>15</v>
      </c>
      <c r="Q6" s="124">
        <f>P6/E6</f>
        <v>0.21126760563380281</v>
      </c>
      <c r="R6" s="126">
        <v>9</v>
      </c>
      <c r="S6" s="127">
        <f>R6/E6</f>
        <v>0.12676056338028169</v>
      </c>
      <c r="U6" s="651">
        <f t="shared" si="0"/>
        <v>1</v>
      </c>
      <c r="X6" s="169">
        <f>VLOOKUP(B6,'2425 Funding Detail'!$A$4:$M$20,12,(FALSE))</f>
        <v>75.583333333333343</v>
      </c>
      <c r="Y6" s="169">
        <f t="shared" ref="Y6:Y21" si="1">X6-E6</f>
        <v>4.5833333333333428</v>
      </c>
    </row>
    <row r="7" spans="2:25" ht="20.5" x14ac:dyDescent="0.25">
      <c r="B7" s="68">
        <v>9257025</v>
      </c>
      <c r="C7" s="166" t="s">
        <v>64</v>
      </c>
      <c r="D7" s="121">
        <v>4</v>
      </c>
      <c r="E7" s="597">
        <v>96</v>
      </c>
      <c r="F7" s="123">
        <v>8</v>
      </c>
      <c r="G7" s="124">
        <f>F7/E7</f>
        <v>8.3333333333333329E-2</v>
      </c>
      <c r="H7" s="125">
        <v>62</v>
      </c>
      <c r="I7" s="124">
        <f>H7/E7</f>
        <v>0.64583333333333337</v>
      </c>
      <c r="J7" s="125">
        <v>4</v>
      </c>
      <c r="K7" s="124">
        <f>J7/E7</f>
        <v>4.1666666666666664E-2</v>
      </c>
      <c r="L7" s="125">
        <v>12</v>
      </c>
      <c r="M7" s="124">
        <f>L7/E7</f>
        <v>0.125</v>
      </c>
      <c r="N7" s="126">
        <v>0</v>
      </c>
      <c r="O7" s="127">
        <f>N7/E7</f>
        <v>0</v>
      </c>
      <c r="P7" s="125">
        <v>7</v>
      </c>
      <c r="Q7" s="124">
        <f>P7/E7</f>
        <v>7.2916666666666671E-2</v>
      </c>
      <c r="R7" s="126">
        <v>3</v>
      </c>
      <c r="S7" s="127">
        <f>R7/E7</f>
        <v>3.125E-2</v>
      </c>
      <c r="U7" s="651">
        <f t="shared" si="0"/>
        <v>1</v>
      </c>
      <c r="X7" s="169">
        <f>VLOOKUP(B7,'2425 Funding Detail'!$A$4:$M$20,12,(FALSE))</f>
        <v>106.08333333333334</v>
      </c>
      <c r="Y7" s="169">
        <f t="shared" si="1"/>
        <v>10.083333333333343</v>
      </c>
    </row>
    <row r="8" spans="2:25" ht="20.5" x14ac:dyDescent="0.25">
      <c r="B8" s="68">
        <v>9257024</v>
      </c>
      <c r="C8" s="166" t="s">
        <v>66</v>
      </c>
      <c r="D8" s="121">
        <v>4</v>
      </c>
      <c r="E8" s="597">
        <v>95</v>
      </c>
      <c r="F8" s="125">
        <v>10</v>
      </c>
      <c r="G8" s="124">
        <f>F8/E8</f>
        <v>0.10526315789473684</v>
      </c>
      <c r="H8" s="125">
        <v>54</v>
      </c>
      <c r="I8" s="124">
        <f>H8/E8</f>
        <v>0.56842105263157894</v>
      </c>
      <c r="J8" s="125">
        <v>2</v>
      </c>
      <c r="K8" s="124">
        <f>J8/E8</f>
        <v>2.1052631578947368E-2</v>
      </c>
      <c r="L8" s="125">
        <v>14</v>
      </c>
      <c r="M8" s="124">
        <f>L8/E8</f>
        <v>0.14736842105263157</v>
      </c>
      <c r="N8" s="126">
        <v>6</v>
      </c>
      <c r="O8" s="127">
        <f>N8/E8</f>
        <v>6.3157894736842107E-2</v>
      </c>
      <c r="P8" s="125">
        <v>4</v>
      </c>
      <c r="Q8" s="124">
        <f>P8/E8</f>
        <v>4.2105263157894736E-2</v>
      </c>
      <c r="R8" s="126">
        <v>5</v>
      </c>
      <c r="S8" s="127">
        <f>R8/E8</f>
        <v>5.2631578947368418E-2</v>
      </c>
      <c r="U8" s="651">
        <f t="shared" si="0"/>
        <v>1</v>
      </c>
      <c r="X8" s="169">
        <f>VLOOKUP(B8,'2425 Funding Detail'!$A$4:$M$20,12,(FALSE))</f>
        <v>98.416666666666657</v>
      </c>
      <c r="Y8" s="169">
        <f t="shared" si="1"/>
        <v>3.4166666666666572</v>
      </c>
    </row>
    <row r="9" spans="2:25" ht="20.5" x14ac:dyDescent="0.25">
      <c r="B9" s="68">
        <v>9257031</v>
      </c>
      <c r="C9" s="166" t="s">
        <v>84</v>
      </c>
      <c r="D9" s="121" t="s">
        <v>452</v>
      </c>
      <c r="E9" s="597">
        <f>F9+H9+J9+L9+N9+P9+R9</f>
        <v>0</v>
      </c>
      <c r="F9" s="125">
        <v>0</v>
      </c>
      <c r="G9" s="124">
        <v>0</v>
      </c>
      <c r="H9" s="125">
        <v>0</v>
      </c>
      <c r="I9" s="124">
        <v>0</v>
      </c>
      <c r="J9" s="125">
        <v>0</v>
      </c>
      <c r="K9" s="124">
        <v>1</v>
      </c>
      <c r="L9" s="125">
        <v>0</v>
      </c>
      <c r="M9" s="124">
        <v>0</v>
      </c>
      <c r="N9" s="126">
        <v>0</v>
      </c>
      <c r="O9" s="127">
        <v>0</v>
      </c>
      <c r="P9" s="125">
        <v>0</v>
      </c>
      <c r="Q9" s="124">
        <v>0</v>
      </c>
      <c r="R9" s="126">
        <v>0</v>
      </c>
      <c r="S9" s="127">
        <v>0</v>
      </c>
      <c r="U9" s="651">
        <f t="shared" si="0"/>
        <v>1</v>
      </c>
      <c r="X9" s="650">
        <f>VLOOKUP(B9,'2425 Funding Detail'!$A$4:$M$20,12,(FALSE))</f>
        <v>80.416666666666671</v>
      </c>
      <c r="Y9" s="650">
        <f>X9-E9</f>
        <v>80.416666666666671</v>
      </c>
    </row>
    <row r="10" spans="2:25" ht="30.5" x14ac:dyDescent="0.25">
      <c r="B10" s="68">
        <v>9257033</v>
      </c>
      <c r="C10" s="166" t="s">
        <v>74</v>
      </c>
      <c r="D10" s="121" t="s">
        <v>451</v>
      </c>
      <c r="E10" s="597">
        <v>113</v>
      </c>
      <c r="F10" s="125">
        <v>14</v>
      </c>
      <c r="G10" s="124">
        <f>F10/E10</f>
        <v>0.12389380530973451</v>
      </c>
      <c r="H10" s="125">
        <v>77</v>
      </c>
      <c r="I10" s="124">
        <f>H10/E10</f>
        <v>0.68141592920353977</v>
      </c>
      <c r="J10" s="125">
        <v>2</v>
      </c>
      <c r="K10" s="124">
        <f>J10/E10</f>
        <v>1.7699115044247787E-2</v>
      </c>
      <c r="L10" s="125">
        <v>12</v>
      </c>
      <c r="M10" s="124">
        <f>L10/E10</f>
        <v>0.10619469026548672</v>
      </c>
      <c r="N10" s="126">
        <v>4</v>
      </c>
      <c r="O10" s="127">
        <f>N10/E10</f>
        <v>3.5398230088495575E-2</v>
      </c>
      <c r="P10" s="125">
        <v>1</v>
      </c>
      <c r="Q10" s="124">
        <f>P10/E10</f>
        <v>8.8495575221238937E-3</v>
      </c>
      <c r="R10" s="126">
        <v>3</v>
      </c>
      <c r="S10" s="127">
        <f>R10/E10</f>
        <v>2.6548672566371681E-2</v>
      </c>
      <c r="U10" s="651">
        <f t="shared" si="0"/>
        <v>1</v>
      </c>
      <c r="X10" s="169">
        <f>VLOOKUP(B10,'2425 Funding Detail'!$A$4:$M$20,12,(FALSE))</f>
        <v>115.58333333333334</v>
      </c>
      <c r="Y10" s="169">
        <f t="shared" si="1"/>
        <v>2.5833333333333428</v>
      </c>
    </row>
    <row r="11" spans="2:25" ht="20.5" x14ac:dyDescent="0.25">
      <c r="B11" s="68">
        <v>9257008</v>
      </c>
      <c r="C11" s="166" t="s">
        <v>67</v>
      </c>
      <c r="D11" s="121">
        <v>4</v>
      </c>
      <c r="E11" s="597">
        <v>101</v>
      </c>
      <c r="F11" s="125">
        <v>9</v>
      </c>
      <c r="G11" s="124">
        <f>F11/E11</f>
        <v>8.9108910891089105E-2</v>
      </c>
      <c r="H11" s="125">
        <v>65</v>
      </c>
      <c r="I11" s="124">
        <f>H11/E11</f>
        <v>0.64356435643564358</v>
      </c>
      <c r="J11" s="125">
        <v>5</v>
      </c>
      <c r="K11" s="124">
        <f>J11/E11</f>
        <v>4.9504950495049507E-2</v>
      </c>
      <c r="L11" s="125">
        <v>14</v>
      </c>
      <c r="M11" s="124">
        <f>L11/E11</f>
        <v>0.13861386138613863</v>
      </c>
      <c r="N11" s="128">
        <v>0</v>
      </c>
      <c r="O11" s="127">
        <f>N11/E11</f>
        <v>0</v>
      </c>
      <c r="P11" s="125">
        <v>8</v>
      </c>
      <c r="Q11" s="124">
        <f>P11/E11</f>
        <v>7.9207920792079209E-2</v>
      </c>
      <c r="R11" s="128">
        <v>0</v>
      </c>
      <c r="S11" s="127">
        <f>R11/E11</f>
        <v>0</v>
      </c>
      <c r="U11" s="651">
        <f t="shared" si="0"/>
        <v>1</v>
      </c>
      <c r="X11" s="169">
        <f>VLOOKUP(B11,'2425 Funding Detail'!$A$4:$M$20,12,(FALSE))</f>
        <v>101</v>
      </c>
      <c r="Y11" s="169">
        <f t="shared" si="1"/>
        <v>0</v>
      </c>
    </row>
    <row r="12" spans="2:25" ht="20.5" x14ac:dyDescent="0.25">
      <c r="B12" s="68">
        <v>9257034</v>
      </c>
      <c r="C12" s="166" t="s">
        <v>75</v>
      </c>
      <c r="D12" s="121" t="s">
        <v>451</v>
      </c>
      <c r="E12" s="597">
        <v>130</v>
      </c>
      <c r="F12" s="125">
        <v>49</v>
      </c>
      <c r="G12" s="124">
        <f>F12/E12</f>
        <v>0.37692307692307692</v>
      </c>
      <c r="H12" s="125">
        <v>52</v>
      </c>
      <c r="I12" s="124">
        <f>H12/E12</f>
        <v>0.4</v>
      </c>
      <c r="J12" s="125">
        <v>10</v>
      </c>
      <c r="K12" s="124">
        <f>J12/E12</f>
        <v>7.6923076923076927E-2</v>
      </c>
      <c r="L12" s="125">
        <v>8</v>
      </c>
      <c r="M12" s="124">
        <f>L12/E12</f>
        <v>6.1538461538461542E-2</v>
      </c>
      <c r="N12" s="126">
        <v>2</v>
      </c>
      <c r="O12" s="127">
        <f>N12/E12</f>
        <v>1.5384615384615385E-2</v>
      </c>
      <c r="P12" s="125">
        <v>7</v>
      </c>
      <c r="Q12" s="124">
        <f>P12/E12</f>
        <v>5.3846153846153849E-2</v>
      </c>
      <c r="R12" s="126">
        <v>2</v>
      </c>
      <c r="S12" s="127">
        <f>R12/E12</f>
        <v>1.5384615384615385E-2</v>
      </c>
      <c r="U12" s="651">
        <f t="shared" si="0"/>
        <v>1</v>
      </c>
      <c r="X12" s="169">
        <f>VLOOKUP(B12,'2425 Funding Detail'!$A$4:$M$20,12,(FALSE))</f>
        <v>137.41666666666669</v>
      </c>
      <c r="Y12" s="169">
        <f t="shared" si="1"/>
        <v>7.4166666666666856</v>
      </c>
    </row>
    <row r="13" spans="2:25" ht="20.5" x14ac:dyDescent="0.25">
      <c r="B13" s="68">
        <v>9257002</v>
      </c>
      <c r="C13" s="166" t="s">
        <v>68</v>
      </c>
      <c r="D13" s="121">
        <v>4</v>
      </c>
      <c r="E13" s="597">
        <v>156</v>
      </c>
      <c r="F13" s="125">
        <v>24</v>
      </c>
      <c r="G13" s="124">
        <f>F13/E13</f>
        <v>0.15384615384615385</v>
      </c>
      <c r="H13" s="125">
        <v>84</v>
      </c>
      <c r="I13" s="124">
        <f>H13/E13</f>
        <v>0.53846153846153844</v>
      </c>
      <c r="J13" s="125">
        <v>20</v>
      </c>
      <c r="K13" s="124">
        <f>J13/E13</f>
        <v>0.12820512820512819</v>
      </c>
      <c r="L13" s="125">
        <v>8</v>
      </c>
      <c r="M13" s="124">
        <f>L13/E13</f>
        <v>5.128205128205128E-2</v>
      </c>
      <c r="N13" s="126">
        <v>4</v>
      </c>
      <c r="O13" s="127">
        <f>N13/E13</f>
        <v>2.564102564102564E-2</v>
      </c>
      <c r="P13" s="125">
        <v>14</v>
      </c>
      <c r="Q13" s="124">
        <f>P13/E13</f>
        <v>8.9743589743589744E-2</v>
      </c>
      <c r="R13" s="126">
        <v>2</v>
      </c>
      <c r="S13" s="127">
        <f>R13/E13</f>
        <v>1.282051282051282E-2</v>
      </c>
      <c r="U13" s="651">
        <f t="shared" si="0"/>
        <v>1</v>
      </c>
      <c r="X13" s="169">
        <f>VLOOKUP(B13,'2425 Funding Detail'!$A$4:$M$20,12,(FALSE))</f>
        <v>175.41666666666669</v>
      </c>
      <c r="Y13" s="169">
        <f t="shared" si="1"/>
        <v>19.416666666666686</v>
      </c>
    </row>
    <row r="14" spans="2:25" ht="20.5" x14ac:dyDescent="0.25">
      <c r="B14" s="68">
        <v>9257009</v>
      </c>
      <c r="C14" s="166" t="s">
        <v>334</v>
      </c>
      <c r="D14" s="121">
        <v>4</v>
      </c>
      <c r="E14" s="597">
        <v>201</v>
      </c>
      <c r="F14" s="125">
        <v>37</v>
      </c>
      <c r="G14" s="124">
        <f>F14/E14</f>
        <v>0.18407960199004975</v>
      </c>
      <c r="H14" s="125">
        <v>100</v>
      </c>
      <c r="I14" s="124">
        <f>H14/E14</f>
        <v>0.49751243781094528</v>
      </c>
      <c r="J14" s="125">
        <v>14</v>
      </c>
      <c r="K14" s="124">
        <f>J14/E14</f>
        <v>6.965174129353234E-2</v>
      </c>
      <c r="L14" s="125">
        <v>14</v>
      </c>
      <c r="M14" s="124">
        <f>L14/E14</f>
        <v>6.965174129353234E-2</v>
      </c>
      <c r="N14" s="126">
        <f>1+6</f>
        <v>7</v>
      </c>
      <c r="O14" s="127">
        <f>N14/E14</f>
        <v>3.482587064676617E-2</v>
      </c>
      <c r="P14" s="125">
        <v>17</v>
      </c>
      <c r="Q14" s="124">
        <f>P14/E14</f>
        <v>8.45771144278607E-2</v>
      </c>
      <c r="R14" s="126">
        <v>12</v>
      </c>
      <c r="S14" s="127">
        <f>R14/E14</f>
        <v>5.9701492537313432E-2</v>
      </c>
      <c r="U14" s="651">
        <f t="shared" si="0"/>
        <v>1</v>
      </c>
      <c r="X14" s="169">
        <f>VLOOKUP(B14,'2425 Funding Detail'!$A$4:$M$20,12,(FALSE))</f>
        <v>215</v>
      </c>
      <c r="Y14" s="169">
        <f t="shared" si="1"/>
        <v>14</v>
      </c>
    </row>
    <row r="15" spans="2:25" ht="20.5" x14ac:dyDescent="0.25">
      <c r="B15" s="68">
        <v>9257029</v>
      </c>
      <c r="C15" s="166" t="s">
        <v>278</v>
      </c>
      <c r="D15" s="121" t="s">
        <v>452</v>
      </c>
      <c r="E15" s="597">
        <f>F15+H15+J15+L15+N15+P15+R15</f>
        <v>0</v>
      </c>
      <c r="F15" s="125">
        <v>0</v>
      </c>
      <c r="G15" s="124">
        <v>0</v>
      </c>
      <c r="H15" s="125">
        <v>0</v>
      </c>
      <c r="I15" s="124">
        <v>0</v>
      </c>
      <c r="J15" s="125">
        <v>0</v>
      </c>
      <c r="K15" s="124">
        <v>1</v>
      </c>
      <c r="L15" s="125">
        <v>0</v>
      </c>
      <c r="M15" s="124">
        <v>0</v>
      </c>
      <c r="N15" s="126">
        <v>0</v>
      </c>
      <c r="O15" s="127">
        <v>0</v>
      </c>
      <c r="P15" s="125">
        <v>0</v>
      </c>
      <c r="Q15" s="124">
        <v>0</v>
      </c>
      <c r="R15" s="126">
        <v>0</v>
      </c>
      <c r="S15" s="127">
        <v>0</v>
      </c>
      <c r="U15" s="651">
        <f t="shared" si="0"/>
        <v>1</v>
      </c>
      <c r="X15" s="650">
        <f>VLOOKUP(B15,'2425 Funding Detail'!$A$4:$M$20,12,(FALSE))</f>
        <v>80.75</v>
      </c>
      <c r="Y15" s="650">
        <f t="shared" si="1"/>
        <v>80.75</v>
      </c>
    </row>
    <row r="16" spans="2:25" ht="20.5" x14ac:dyDescent="0.25">
      <c r="B16" s="68">
        <v>9257032</v>
      </c>
      <c r="C16" s="166" t="s">
        <v>266</v>
      </c>
      <c r="D16" s="121" t="s">
        <v>452</v>
      </c>
      <c r="E16" s="597">
        <f>F16+H16+J16+L16+N16+P16+R16</f>
        <v>0</v>
      </c>
      <c r="F16" s="125">
        <v>0</v>
      </c>
      <c r="G16" s="124">
        <v>0</v>
      </c>
      <c r="H16" s="125">
        <v>0</v>
      </c>
      <c r="I16" s="124">
        <v>0</v>
      </c>
      <c r="J16" s="125">
        <v>0</v>
      </c>
      <c r="K16" s="124">
        <v>1</v>
      </c>
      <c r="L16" s="125">
        <v>0</v>
      </c>
      <c r="M16" s="124">
        <v>0</v>
      </c>
      <c r="N16" s="126">
        <v>0</v>
      </c>
      <c r="O16" s="127">
        <v>0</v>
      </c>
      <c r="P16" s="125">
        <v>0</v>
      </c>
      <c r="Q16" s="124">
        <v>0</v>
      </c>
      <c r="R16" s="126">
        <v>0</v>
      </c>
      <c r="S16" s="127">
        <v>0</v>
      </c>
      <c r="U16" s="651">
        <f t="shared" si="0"/>
        <v>1</v>
      </c>
      <c r="X16" s="650">
        <f>VLOOKUP(B16,'2425 Funding Detail'!$A$4:$M$20,12,(FALSE))</f>
        <v>115.00000000000001</v>
      </c>
      <c r="Y16" s="650">
        <f t="shared" si="1"/>
        <v>115.00000000000001</v>
      </c>
    </row>
    <row r="17" spans="2:25" ht="20.5" x14ac:dyDescent="0.25">
      <c r="B17" s="68">
        <v>9257030</v>
      </c>
      <c r="C17" s="166" t="s">
        <v>268</v>
      </c>
      <c r="D17" s="121" t="s">
        <v>452</v>
      </c>
      <c r="E17" s="597">
        <f>F17+H17+J17+L17+N17+P17+R17</f>
        <v>0</v>
      </c>
      <c r="F17" s="123">
        <v>0</v>
      </c>
      <c r="G17" s="124">
        <v>0</v>
      </c>
      <c r="H17" s="125">
        <v>0</v>
      </c>
      <c r="I17" s="124">
        <v>0</v>
      </c>
      <c r="J17" s="125">
        <v>0</v>
      </c>
      <c r="K17" s="124">
        <v>1</v>
      </c>
      <c r="L17" s="125">
        <v>0</v>
      </c>
      <c r="M17" s="124">
        <v>0</v>
      </c>
      <c r="N17" s="126">
        <v>0</v>
      </c>
      <c r="O17" s="127">
        <v>0</v>
      </c>
      <c r="P17" s="125">
        <v>0</v>
      </c>
      <c r="Q17" s="124">
        <v>0</v>
      </c>
      <c r="R17" s="126">
        <v>0</v>
      </c>
      <c r="S17" s="127">
        <v>0</v>
      </c>
      <c r="U17" s="651">
        <f t="shared" si="0"/>
        <v>1</v>
      </c>
      <c r="X17" s="650">
        <f>VLOOKUP(B17,'2425 Funding Detail'!$A$4:$M$20,12,(FALSE))</f>
        <v>73.5</v>
      </c>
      <c r="Y17" s="650">
        <f t="shared" si="1"/>
        <v>73.5</v>
      </c>
    </row>
    <row r="18" spans="2:25" ht="20.5" x14ac:dyDescent="0.25">
      <c r="B18" s="68">
        <v>9257028</v>
      </c>
      <c r="C18" s="166" t="s">
        <v>70</v>
      </c>
      <c r="D18" s="121">
        <v>4</v>
      </c>
      <c r="E18" s="597">
        <v>129</v>
      </c>
      <c r="F18" s="125">
        <v>6</v>
      </c>
      <c r="G18" s="124">
        <f>F18/E18</f>
        <v>4.6511627906976744E-2</v>
      </c>
      <c r="H18" s="123">
        <v>49</v>
      </c>
      <c r="I18" s="124">
        <f>H18/E18</f>
        <v>0.37984496124031009</v>
      </c>
      <c r="J18" s="123">
        <v>7</v>
      </c>
      <c r="K18" s="124">
        <f>J18/E18</f>
        <v>5.4263565891472867E-2</v>
      </c>
      <c r="L18" s="123">
        <v>21</v>
      </c>
      <c r="M18" s="124">
        <f>L18/E18</f>
        <v>0.16279069767441862</v>
      </c>
      <c r="N18" s="126">
        <v>8</v>
      </c>
      <c r="O18" s="127">
        <f>N18/E18</f>
        <v>6.2015503875968991E-2</v>
      </c>
      <c r="P18" s="123">
        <v>18</v>
      </c>
      <c r="Q18" s="124">
        <f>P18/E18</f>
        <v>0.13953488372093023</v>
      </c>
      <c r="R18" s="126">
        <v>20</v>
      </c>
      <c r="S18" s="127">
        <f>R18/E18</f>
        <v>0.15503875968992248</v>
      </c>
      <c r="U18" s="651">
        <f t="shared" si="0"/>
        <v>1</v>
      </c>
      <c r="X18" s="169">
        <f>VLOOKUP(B18,'2425 Funding Detail'!$A$4:$M$20,12,(FALSE))</f>
        <v>143.91666666666666</v>
      </c>
      <c r="Y18" s="169">
        <f t="shared" si="1"/>
        <v>14.916666666666657</v>
      </c>
    </row>
    <row r="19" spans="2:25" ht="30.5" x14ac:dyDescent="0.25">
      <c r="B19" s="68">
        <v>9257021</v>
      </c>
      <c r="C19" s="166" t="s">
        <v>71</v>
      </c>
      <c r="D19" s="121" t="s">
        <v>453</v>
      </c>
      <c r="E19" s="597">
        <v>174</v>
      </c>
      <c r="F19" s="125">
        <v>37</v>
      </c>
      <c r="G19" s="124">
        <f>F19/E19</f>
        <v>0.21264367816091953</v>
      </c>
      <c r="H19" s="125">
        <v>91</v>
      </c>
      <c r="I19" s="124">
        <f>H19/E19</f>
        <v>0.52298850574712641</v>
      </c>
      <c r="J19" s="125">
        <v>23</v>
      </c>
      <c r="K19" s="124">
        <f>J19/E19</f>
        <v>0.13218390804597702</v>
      </c>
      <c r="L19" s="125">
        <v>12</v>
      </c>
      <c r="M19" s="124">
        <f>L19/E19</f>
        <v>6.8965517241379309E-2</v>
      </c>
      <c r="N19" s="126">
        <v>4</v>
      </c>
      <c r="O19" s="127">
        <f>N19/E19</f>
        <v>2.2988505747126436E-2</v>
      </c>
      <c r="P19" s="125">
        <v>5</v>
      </c>
      <c r="Q19" s="124">
        <f>P19/E19</f>
        <v>2.8735632183908046E-2</v>
      </c>
      <c r="R19" s="126">
        <v>2</v>
      </c>
      <c r="S19" s="127">
        <f>R19/E19</f>
        <v>1.1494252873563218E-2</v>
      </c>
      <c r="U19" s="651">
        <f t="shared" si="0"/>
        <v>1</v>
      </c>
      <c r="X19" s="169">
        <f>VLOOKUP(B19,'2425 Funding Detail'!$A$4:$M$20,12,(FALSE))</f>
        <v>179.58333333333334</v>
      </c>
      <c r="Y19" s="169">
        <f t="shared" si="1"/>
        <v>5.5833333333333428</v>
      </c>
    </row>
    <row r="20" spans="2:25" ht="30.5" x14ac:dyDescent="0.25">
      <c r="B20" s="68">
        <v>9257015</v>
      </c>
      <c r="C20" s="166" t="s">
        <v>72</v>
      </c>
      <c r="D20" s="121" t="s">
        <v>454</v>
      </c>
      <c r="E20" s="597">
        <v>232</v>
      </c>
      <c r="F20" s="125">
        <v>51</v>
      </c>
      <c r="G20" s="124">
        <f>F20/E20</f>
        <v>0.21982758620689655</v>
      </c>
      <c r="H20" s="125">
        <v>104</v>
      </c>
      <c r="I20" s="124">
        <f>H20/E20</f>
        <v>0.44827586206896552</v>
      </c>
      <c r="J20" s="125">
        <v>3</v>
      </c>
      <c r="K20" s="124">
        <f>J20/E20</f>
        <v>1.2931034482758621E-2</v>
      </c>
      <c r="L20" s="125">
        <v>22</v>
      </c>
      <c r="M20" s="124">
        <f>L20/E20</f>
        <v>9.4827586206896547E-2</v>
      </c>
      <c r="N20" s="126">
        <v>8</v>
      </c>
      <c r="O20" s="127">
        <f>N20/E20</f>
        <v>3.4482758620689655E-2</v>
      </c>
      <c r="P20" s="125">
        <v>38</v>
      </c>
      <c r="Q20" s="124">
        <f>P20/E20</f>
        <v>0.16379310344827586</v>
      </c>
      <c r="R20" s="126">
        <v>6</v>
      </c>
      <c r="S20" s="127">
        <f>R20/E20</f>
        <v>2.5862068965517241E-2</v>
      </c>
      <c r="U20" s="651">
        <f t="shared" si="0"/>
        <v>1.0000000000000002</v>
      </c>
      <c r="X20" s="169">
        <f>VLOOKUP(B20,'2425 Funding Detail'!$A$4:$M$20,12,(FALSE))</f>
        <v>295.08333333333337</v>
      </c>
      <c r="Y20" s="169">
        <f t="shared" si="1"/>
        <v>63.083333333333371</v>
      </c>
    </row>
    <row r="21" spans="2:25" ht="20.5" x14ac:dyDescent="0.25">
      <c r="B21" s="68">
        <v>9257016</v>
      </c>
      <c r="C21" s="166" t="s">
        <v>73</v>
      </c>
      <c r="D21" s="121" t="s">
        <v>454</v>
      </c>
      <c r="E21" s="597">
        <v>156</v>
      </c>
      <c r="F21" s="125">
        <v>19</v>
      </c>
      <c r="G21" s="124">
        <f>F21/E21</f>
        <v>0.12179487179487179</v>
      </c>
      <c r="H21" s="125">
        <v>35</v>
      </c>
      <c r="I21" s="124">
        <f>H21/E21</f>
        <v>0.22435897435897437</v>
      </c>
      <c r="J21" s="125">
        <v>2</v>
      </c>
      <c r="K21" s="124">
        <f>J21/E21</f>
        <v>1.282051282051282E-2</v>
      </c>
      <c r="L21" s="125">
        <v>37</v>
      </c>
      <c r="M21" s="124">
        <f>L21/E21</f>
        <v>0.23717948717948717</v>
      </c>
      <c r="N21" s="126">
        <v>27</v>
      </c>
      <c r="O21" s="127">
        <f>N21/E21</f>
        <v>0.17307692307692307</v>
      </c>
      <c r="P21" s="125">
        <v>2</v>
      </c>
      <c r="Q21" s="124">
        <f>P21/E21</f>
        <v>1.282051282051282E-2</v>
      </c>
      <c r="R21" s="126">
        <v>34</v>
      </c>
      <c r="S21" s="127">
        <f>R21/E21</f>
        <v>0.21794871794871795</v>
      </c>
      <c r="U21" s="651">
        <f t="shared" si="0"/>
        <v>0.99999999999999989</v>
      </c>
      <c r="X21" s="169">
        <f>VLOOKUP(B21,'2425 Funding Detail'!$A$4:$M$20,12,(FALSE))</f>
        <v>164.5</v>
      </c>
      <c r="Y21" s="169">
        <f t="shared" si="1"/>
        <v>8.5</v>
      </c>
    </row>
    <row r="22" spans="2:25" x14ac:dyDescent="0.25">
      <c r="X22" s="169"/>
      <c r="Y22" s="169"/>
    </row>
    <row r="23" spans="2:25" ht="13" x14ac:dyDescent="0.3">
      <c r="E23" s="599">
        <f>SUM(E5:E21)</f>
        <v>1800</v>
      </c>
      <c r="F23" s="169">
        <f>SUM(F5:F22)</f>
        <v>281</v>
      </c>
      <c r="G23" s="609">
        <f>SUM(G5:G21)</f>
        <v>1.8626049283172639</v>
      </c>
      <c r="H23" s="169">
        <f>SUM(H5:H22)</f>
        <v>844</v>
      </c>
      <c r="I23" s="609">
        <f>SUM(I5:I21)</f>
        <v>6.1310358168138546</v>
      </c>
      <c r="J23" s="169">
        <f>SUM(J5:J22)</f>
        <v>107</v>
      </c>
      <c r="K23" s="609">
        <f>SUM(K5:K21)</f>
        <v>4.7775235932648501</v>
      </c>
      <c r="L23" s="169">
        <f>SUM(L5:L22)</f>
        <v>218</v>
      </c>
      <c r="M23" s="609">
        <f>SUM(M5:M21)</f>
        <v>1.658839873793067</v>
      </c>
      <c r="N23" s="169">
        <f>SUM(N5:N22)</f>
        <v>87</v>
      </c>
      <c r="O23" s="609">
        <f>SUM(O5:O21)</f>
        <v>0.64852641174667991</v>
      </c>
      <c r="P23" s="169">
        <f>SUM(P5:P22)</f>
        <v>150</v>
      </c>
      <c r="Q23" s="609">
        <f>SUM(Q5:Q21)</f>
        <v>1.0832884149227027</v>
      </c>
      <c r="R23" s="169">
        <f>SUM(R5:R22)</f>
        <v>113</v>
      </c>
      <c r="S23" s="609">
        <f>SUM(S5:S21)</f>
        <v>0.83818096114158158</v>
      </c>
    </row>
    <row r="24" spans="2:25" ht="13" x14ac:dyDescent="0.3">
      <c r="E24" s="599">
        <f>SUM(F24,H24,J24,L24,N24,P24,R24)</f>
        <v>2149.666666666667</v>
      </c>
      <c r="F24" s="169">
        <f>F23</f>
        <v>281</v>
      </c>
      <c r="G24" s="609">
        <f>F24/E24</f>
        <v>0.1307179407660102</v>
      </c>
      <c r="H24" s="169">
        <f>H23</f>
        <v>844</v>
      </c>
      <c r="I24" s="609">
        <f>H24/E24</f>
        <v>0.39261901069933319</v>
      </c>
      <c r="J24" s="169">
        <f>J23+X9+X15+X16+X17</f>
        <v>456.66666666666669</v>
      </c>
      <c r="K24" s="609">
        <f>J24/E24</f>
        <v>0.21243603659482088</v>
      </c>
      <c r="L24" s="169">
        <f>L23</f>
        <v>218</v>
      </c>
      <c r="M24" s="609">
        <f>L24/E24</f>
        <v>0.10141107148395098</v>
      </c>
      <c r="N24" s="169">
        <f>N23</f>
        <v>87</v>
      </c>
      <c r="O24" s="609">
        <f>N24/E24</f>
        <v>4.0471390913319888E-2</v>
      </c>
      <c r="P24" s="169">
        <f>P23</f>
        <v>150</v>
      </c>
      <c r="Q24" s="609">
        <f>P24/E24</f>
        <v>6.9778260195379124E-2</v>
      </c>
      <c r="R24" s="169">
        <f>R23</f>
        <v>113</v>
      </c>
      <c r="S24" s="168">
        <f>R24/E24</f>
        <v>5.2566289347185602E-2</v>
      </c>
    </row>
    <row r="25" spans="2:25" ht="13" x14ac:dyDescent="0.3">
      <c r="B25" s="167"/>
      <c r="C25" s="109"/>
      <c r="D25" s="109"/>
      <c r="E25" s="109"/>
      <c r="F25" s="612">
        <f>F24/$E$24</f>
        <v>0.1307179407660102</v>
      </c>
      <c r="G25" s="612"/>
      <c r="H25" s="612">
        <f>H24/$E$24</f>
        <v>0.39261901069933319</v>
      </c>
      <c r="I25" s="612"/>
      <c r="J25" s="612">
        <f>J24/$E$24</f>
        <v>0.21243603659482088</v>
      </c>
      <c r="K25" s="612"/>
      <c r="L25" s="612">
        <f>L24/$E$24</f>
        <v>0.10141107148395098</v>
      </c>
      <c r="M25" s="612"/>
      <c r="N25" s="612">
        <f>N24/$E$24</f>
        <v>4.0471390913319888E-2</v>
      </c>
      <c r="O25" s="612"/>
      <c r="P25" s="612">
        <f>P24/$E$24</f>
        <v>6.9778260195379124E-2</v>
      </c>
      <c r="Q25" s="612"/>
      <c r="R25" s="612">
        <f>R24/$E$24</f>
        <v>5.2566289347185602E-2</v>
      </c>
      <c r="S25" s="109"/>
    </row>
    <row r="26" spans="2:25" x14ac:dyDescent="0.25">
      <c r="B26" s="109"/>
      <c r="C26" s="109"/>
      <c r="D26" s="109"/>
      <c r="E26" s="109" t="s">
        <v>1</v>
      </c>
      <c r="F26" s="129">
        <f>F25-F51</f>
        <v>-1.4420840440378363E-2</v>
      </c>
      <c r="G26" s="129"/>
      <c r="H26" s="129">
        <f>H25-H51</f>
        <v>9.3037680260505407E-3</v>
      </c>
      <c r="I26" s="129"/>
      <c r="J26" s="129">
        <f>J25-J51</f>
        <v>5.8923864164986683E-3</v>
      </c>
      <c r="K26" s="129"/>
      <c r="L26" s="129">
        <f>L25-L51</f>
        <v>1.3955652039075825E-2</v>
      </c>
      <c r="M26" s="129"/>
      <c r="N26" s="129">
        <f>N25-N51</f>
        <v>-4.1866956117227461E-3</v>
      </c>
      <c r="O26" s="129"/>
      <c r="P26" s="129">
        <f>P25-P51</f>
        <v>5.1170724143278085E-3</v>
      </c>
      <c r="Q26" s="129"/>
      <c r="R26" s="129">
        <f>R25-R51</f>
        <v>6.047449216932857E-3</v>
      </c>
      <c r="S26" s="109"/>
    </row>
    <row r="28" spans="2:25" ht="13" x14ac:dyDescent="0.3">
      <c r="B28" s="167" t="s">
        <v>773</v>
      </c>
      <c r="C28" s="109"/>
      <c r="D28" s="109"/>
      <c r="E28" s="109"/>
      <c r="F28" s="109"/>
      <c r="G28" s="109"/>
      <c r="H28" s="109"/>
      <c r="I28" s="109"/>
      <c r="J28" s="109"/>
      <c r="K28" s="109"/>
      <c r="L28" s="109"/>
      <c r="M28" s="109"/>
      <c r="N28" s="109"/>
      <c r="O28" s="109"/>
      <c r="P28" s="109"/>
      <c r="Q28" s="109"/>
      <c r="R28" s="109"/>
      <c r="S28" s="109"/>
    </row>
    <row r="29" spans="2:25" x14ac:dyDescent="0.25">
      <c r="B29" s="109"/>
      <c r="C29" s="109"/>
      <c r="D29" s="109"/>
      <c r="E29" s="109"/>
      <c r="F29" s="109"/>
      <c r="G29" s="109"/>
      <c r="H29" s="109"/>
      <c r="I29" s="109"/>
      <c r="J29" s="109"/>
      <c r="K29" s="109"/>
      <c r="L29" s="109"/>
      <c r="M29" s="109"/>
      <c r="N29" s="109"/>
      <c r="O29" s="109"/>
      <c r="P29" s="109"/>
      <c r="Q29" s="109"/>
      <c r="R29" s="109"/>
      <c r="S29" s="109"/>
      <c r="X29" s="109" t="s">
        <v>312</v>
      </c>
    </row>
    <row r="30" spans="2:25" ht="37.5" x14ac:dyDescent="0.25">
      <c r="B30" s="109"/>
      <c r="C30" s="114" t="s">
        <v>49</v>
      </c>
      <c r="D30" s="114" t="s">
        <v>50</v>
      </c>
      <c r="E30" s="115" t="s">
        <v>257</v>
      </c>
      <c r="F30" s="116" t="s">
        <v>229</v>
      </c>
      <c r="G30" s="117" t="s">
        <v>280</v>
      </c>
      <c r="H30" s="116" t="s">
        <v>230</v>
      </c>
      <c r="I30" s="117" t="s">
        <v>290</v>
      </c>
      <c r="J30" s="116" t="s">
        <v>231</v>
      </c>
      <c r="K30" s="117" t="s">
        <v>291</v>
      </c>
      <c r="L30" s="116" t="s">
        <v>232</v>
      </c>
      <c r="M30" s="117" t="s">
        <v>292</v>
      </c>
      <c r="N30" s="118" t="s">
        <v>233</v>
      </c>
      <c r="O30" s="119" t="s">
        <v>293</v>
      </c>
      <c r="P30" s="116" t="s">
        <v>234</v>
      </c>
      <c r="Q30" s="117" t="s">
        <v>294</v>
      </c>
      <c r="R30" s="118" t="s">
        <v>235</v>
      </c>
      <c r="S30" s="119" t="s">
        <v>295</v>
      </c>
      <c r="X30" s="367" t="s">
        <v>743</v>
      </c>
      <c r="Y30" s="109" t="s">
        <v>1</v>
      </c>
    </row>
    <row r="31" spans="2:25" ht="20.5" x14ac:dyDescent="0.25">
      <c r="B31" s="68">
        <v>9257010</v>
      </c>
      <c r="C31" s="166" t="s">
        <v>439</v>
      </c>
      <c r="D31" s="121">
        <v>4</v>
      </c>
      <c r="E31" s="597">
        <v>149</v>
      </c>
      <c r="F31" s="123">
        <v>16</v>
      </c>
      <c r="G31" s="124">
        <f>F31/E31</f>
        <v>0.10738255033557047</v>
      </c>
      <c r="H31" s="125">
        <v>67</v>
      </c>
      <c r="I31" s="124">
        <f>H31/E31</f>
        <v>0.44966442953020136</v>
      </c>
      <c r="J31" s="125">
        <v>9</v>
      </c>
      <c r="K31" s="124">
        <f>J31/E31</f>
        <v>6.0402684563758392E-2</v>
      </c>
      <c r="L31" s="125">
        <v>24</v>
      </c>
      <c r="M31" s="124">
        <f>L31/E31</f>
        <v>0.16107382550335569</v>
      </c>
      <c r="N31" s="126">
        <v>11</v>
      </c>
      <c r="O31" s="127">
        <f>N31/E31</f>
        <v>7.3825503355704702E-2</v>
      </c>
      <c r="P31" s="125">
        <v>10</v>
      </c>
      <c r="Q31" s="124">
        <f>P31/E31</f>
        <v>6.7114093959731544E-2</v>
      </c>
      <c r="R31" s="126">
        <v>12</v>
      </c>
      <c r="S31" s="127">
        <f>R31/E31</f>
        <v>8.0536912751677847E-2</v>
      </c>
      <c r="U31" s="651">
        <f t="shared" ref="U31:U47" si="2">G31+I31+K31+M31+O31+Q31+S31</f>
        <v>1</v>
      </c>
      <c r="X31" s="169">
        <f>VLOOKUP(B31,'2324 Funding Detail'!$A$4:$M$20,13,(FALSE))</f>
        <v>139.33333333333334</v>
      </c>
      <c r="Y31" s="169">
        <f>X31-E31</f>
        <v>-9.6666666666666572</v>
      </c>
    </row>
    <row r="32" spans="2:25" ht="20.5" x14ac:dyDescent="0.25">
      <c r="B32" s="68">
        <v>9257005</v>
      </c>
      <c r="C32" s="166" t="s">
        <v>63</v>
      </c>
      <c r="D32" s="121" t="s">
        <v>451</v>
      </c>
      <c r="E32" s="597">
        <v>71</v>
      </c>
      <c r="F32" s="123">
        <v>6</v>
      </c>
      <c r="G32" s="124">
        <f>F32/E32</f>
        <v>8.4507042253521125E-2</v>
      </c>
      <c r="H32" s="125">
        <v>25</v>
      </c>
      <c r="I32" s="124">
        <f>H32/E32</f>
        <v>0.352112676056338</v>
      </c>
      <c r="J32" s="125">
        <v>6</v>
      </c>
      <c r="K32" s="124">
        <f>J32/E32</f>
        <v>8.4507042253521125E-2</v>
      </c>
      <c r="L32" s="125">
        <v>9</v>
      </c>
      <c r="M32" s="124">
        <f>L32/E32</f>
        <v>0.12676056338028169</v>
      </c>
      <c r="N32" s="126">
        <v>8</v>
      </c>
      <c r="O32" s="127">
        <f>N32/E32</f>
        <v>0.11267605633802817</v>
      </c>
      <c r="P32" s="125">
        <v>12</v>
      </c>
      <c r="Q32" s="124">
        <f>P32/E32</f>
        <v>0.16901408450704225</v>
      </c>
      <c r="R32" s="126">
        <v>5</v>
      </c>
      <c r="S32" s="127">
        <f>R32/E32</f>
        <v>7.0422535211267609E-2</v>
      </c>
      <c r="U32" s="651">
        <f t="shared" si="2"/>
        <v>1</v>
      </c>
      <c r="X32" s="169">
        <f>VLOOKUP(B32,'2324 Funding Detail'!$A$4:$M$20,13,(FALSE))</f>
        <v>79.75</v>
      </c>
      <c r="Y32" s="169">
        <f t="shared" ref="Y32:Y47" si="3">X32-E32</f>
        <v>8.75</v>
      </c>
    </row>
    <row r="33" spans="2:25" ht="20.5" x14ac:dyDescent="0.25">
      <c r="B33" s="68">
        <v>9257025</v>
      </c>
      <c r="C33" s="166" t="s">
        <v>64</v>
      </c>
      <c r="D33" s="121">
        <v>4</v>
      </c>
      <c r="E33" s="597">
        <v>90</v>
      </c>
      <c r="F33" s="123">
        <v>12</v>
      </c>
      <c r="G33" s="124">
        <f>F33/E33</f>
        <v>0.13333333333333333</v>
      </c>
      <c r="H33" s="125">
        <v>48</v>
      </c>
      <c r="I33" s="124">
        <f>H33/E33</f>
        <v>0.53333333333333333</v>
      </c>
      <c r="J33" s="125">
        <v>4</v>
      </c>
      <c r="K33" s="124">
        <f>J33/E33</f>
        <v>4.4444444444444446E-2</v>
      </c>
      <c r="L33" s="125">
        <v>10</v>
      </c>
      <c r="M33" s="124">
        <f>L33/E33</f>
        <v>0.1111111111111111</v>
      </c>
      <c r="N33" s="126">
        <v>1</v>
      </c>
      <c r="O33" s="127">
        <f>N33/E33</f>
        <v>1.1111111111111112E-2</v>
      </c>
      <c r="P33" s="125">
        <v>11</v>
      </c>
      <c r="Q33" s="124">
        <f>P33/E33</f>
        <v>0.12222222222222222</v>
      </c>
      <c r="R33" s="126">
        <v>4</v>
      </c>
      <c r="S33" s="127">
        <f>R33/E33</f>
        <v>4.4444444444444446E-2</v>
      </c>
      <c r="U33" s="651">
        <f t="shared" si="2"/>
        <v>0.99999999999999989</v>
      </c>
      <c r="X33" s="169">
        <f>VLOOKUP(B33,'2324 Funding Detail'!$A$4:$M$20,13,(FALSE))</f>
        <v>96</v>
      </c>
      <c r="Y33" s="169">
        <f t="shared" si="3"/>
        <v>6</v>
      </c>
    </row>
    <row r="34" spans="2:25" ht="20.5" x14ac:dyDescent="0.25">
      <c r="B34" s="68">
        <v>9257024</v>
      </c>
      <c r="C34" s="166" t="s">
        <v>66</v>
      </c>
      <c r="D34" s="121">
        <v>4</v>
      </c>
      <c r="E34" s="597">
        <v>85</v>
      </c>
      <c r="F34" s="125">
        <v>7</v>
      </c>
      <c r="G34" s="124">
        <f>F34/E34</f>
        <v>8.2352941176470587E-2</v>
      </c>
      <c r="H34" s="125">
        <v>46</v>
      </c>
      <c r="I34" s="124">
        <f>H34/E34</f>
        <v>0.54117647058823526</v>
      </c>
      <c r="J34" s="125">
        <v>1</v>
      </c>
      <c r="K34" s="124">
        <f>J34/E34</f>
        <v>1.1764705882352941E-2</v>
      </c>
      <c r="L34" s="125">
        <v>15</v>
      </c>
      <c r="M34" s="124">
        <f>L34/E34</f>
        <v>0.17647058823529413</v>
      </c>
      <c r="N34" s="126">
        <v>6</v>
      </c>
      <c r="O34" s="127">
        <f>N34/E34</f>
        <v>7.0588235294117646E-2</v>
      </c>
      <c r="P34" s="125">
        <v>4</v>
      </c>
      <c r="Q34" s="124">
        <f>P34/E34</f>
        <v>4.7058823529411764E-2</v>
      </c>
      <c r="R34" s="126">
        <v>6</v>
      </c>
      <c r="S34" s="127">
        <f>R34/E34</f>
        <v>7.0588235294117646E-2</v>
      </c>
      <c r="U34" s="651">
        <f t="shared" si="2"/>
        <v>1</v>
      </c>
      <c r="X34" s="169">
        <f>VLOOKUP(B34,'2324 Funding Detail'!$A$4:$M$20,13,(FALSE))</f>
        <v>92.916666666666671</v>
      </c>
      <c r="Y34" s="169">
        <f t="shared" si="3"/>
        <v>7.9166666666666714</v>
      </c>
    </row>
    <row r="35" spans="2:25" ht="20.5" x14ac:dyDescent="0.25">
      <c r="B35" s="68">
        <v>9257031</v>
      </c>
      <c r="C35" s="166" t="s">
        <v>84</v>
      </c>
      <c r="D35" s="121" t="s">
        <v>452</v>
      </c>
      <c r="E35" s="597">
        <f>F35+H35+J35+L35+N35+P35+R35</f>
        <v>0</v>
      </c>
      <c r="F35" s="125">
        <v>0</v>
      </c>
      <c r="G35" s="124">
        <v>0</v>
      </c>
      <c r="H35" s="125">
        <v>0</v>
      </c>
      <c r="I35" s="124">
        <v>0</v>
      </c>
      <c r="J35" s="125">
        <v>0</v>
      </c>
      <c r="K35" s="124">
        <v>1</v>
      </c>
      <c r="L35" s="125">
        <v>0</v>
      </c>
      <c r="M35" s="124">
        <v>0</v>
      </c>
      <c r="N35" s="126">
        <v>0</v>
      </c>
      <c r="O35" s="127">
        <v>0</v>
      </c>
      <c r="P35" s="125">
        <v>0</v>
      </c>
      <c r="Q35" s="124">
        <v>0</v>
      </c>
      <c r="R35" s="126">
        <v>0</v>
      </c>
      <c r="S35" s="127">
        <v>0</v>
      </c>
      <c r="U35" s="651">
        <f t="shared" si="2"/>
        <v>1</v>
      </c>
      <c r="X35" s="650">
        <f>VLOOKUP(B35,'2324 Funding Detail'!$A$4:$M$20,13,(FALSE))</f>
        <v>80.583333333333343</v>
      </c>
      <c r="Y35" s="650">
        <f>X35-E35</f>
        <v>80.583333333333343</v>
      </c>
    </row>
    <row r="36" spans="2:25" ht="30.5" x14ac:dyDescent="0.25">
      <c r="B36" s="68">
        <v>9257033</v>
      </c>
      <c r="C36" s="166" t="s">
        <v>74</v>
      </c>
      <c r="D36" s="121" t="s">
        <v>451</v>
      </c>
      <c r="E36" s="597">
        <v>111</v>
      </c>
      <c r="F36" s="125">
        <v>15</v>
      </c>
      <c r="G36" s="124">
        <f>F36/E36</f>
        <v>0.13513513513513514</v>
      </c>
      <c r="H36" s="125">
        <v>75</v>
      </c>
      <c r="I36" s="124">
        <f>H36/E36</f>
        <v>0.67567567567567566</v>
      </c>
      <c r="J36" s="125">
        <v>1</v>
      </c>
      <c r="K36" s="124">
        <f>J36/E36</f>
        <v>9.0090090090090089E-3</v>
      </c>
      <c r="L36" s="125">
        <v>10</v>
      </c>
      <c r="M36" s="124">
        <f>L36/E36</f>
        <v>9.0090090090090086E-2</v>
      </c>
      <c r="N36" s="126">
        <v>5</v>
      </c>
      <c r="O36" s="127">
        <f>N36/E36</f>
        <v>4.5045045045045043E-2</v>
      </c>
      <c r="P36" s="125">
        <v>3</v>
      </c>
      <c r="Q36" s="124">
        <f>P36/E36</f>
        <v>2.7027027027027029E-2</v>
      </c>
      <c r="R36" s="126">
        <v>2</v>
      </c>
      <c r="S36" s="127">
        <f>R36/E36</f>
        <v>1.8018018018018018E-2</v>
      </c>
      <c r="U36" s="651">
        <f t="shared" si="2"/>
        <v>1</v>
      </c>
      <c r="X36" s="169">
        <f>VLOOKUP(B36,'2324 Funding Detail'!$A$4:$M$20,13,(FALSE))</f>
        <v>113.75000000000001</v>
      </c>
      <c r="Y36" s="169">
        <f t="shared" si="3"/>
        <v>2.7500000000000142</v>
      </c>
    </row>
    <row r="37" spans="2:25" ht="20.5" x14ac:dyDescent="0.25">
      <c r="B37" s="68">
        <v>9257008</v>
      </c>
      <c r="C37" s="166" t="s">
        <v>67</v>
      </c>
      <c r="D37" s="121">
        <v>4</v>
      </c>
      <c r="E37" s="597">
        <v>101</v>
      </c>
      <c r="F37" s="125">
        <v>16</v>
      </c>
      <c r="G37" s="124">
        <f>F37/E37</f>
        <v>0.15841584158415842</v>
      </c>
      <c r="H37" s="125">
        <v>63</v>
      </c>
      <c r="I37" s="124">
        <f>H37/E37</f>
        <v>0.62376237623762376</v>
      </c>
      <c r="J37" s="125">
        <v>5</v>
      </c>
      <c r="K37" s="124">
        <f>J37/E37</f>
        <v>4.9504950495049507E-2</v>
      </c>
      <c r="L37" s="125">
        <v>11</v>
      </c>
      <c r="M37" s="124">
        <f>L37/E37</f>
        <v>0.10891089108910891</v>
      </c>
      <c r="N37" s="128">
        <v>0</v>
      </c>
      <c r="O37" s="127">
        <f>N37/E37</f>
        <v>0</v>
      </c>
      <c r="P37" s="125">
        <v>6</v>
      </c>
      <c r="Q37" s="124">
        <f>P37/E37</f>
        <v>5.9405940594059403E-2</v>
      </c>
      <c r="R37" s="128">
        <v>0</v>
      </c>
      <c r="S37" s="127">
        <f>R37/E37</f>
        <v>0</v>
      </c>
      <c r="U37" s="651">
        <f t="shared" si="2"/>
        <v>1</v>
      </c>
      <c r="X37" s="169">
        <f>VLOOKUP(B37,'2324 Funding Detail'!$A$4:$M$20,13,(FALSE))</f>
        <v>101</v>
      </c>
      <c r="Y37" s="169">
        <f t="shared" si="3"/>
        <v>0</v>
      </c>
    </row>
    <row r="38" spans="2:25" ht="20.5" x14ac:dyDescent="0.25">
      <c r="B38" s="68">
        <v>9257034</v>
      </c>
      <c r="C38" s="166" t="s">
        <v>75</v>
      </c>
      <c r="D38" s="121" t="s">
        <v>451</v>
      </c>
      <c r="E38" s="597">
        <v>117</v>
      </c>
      <c r="F38" s="125">
        <v>50</v>
      </c>
      <c r="G38" s="124">
        <f>F38/E38</f>
        <v>0.42735042735042733</v>
      </c>
      <c r="H38" s="125">
        <v>41</v>
      </c>
      <c r="I38" s="124">
        <f>H38/E38</f>
        <v>0.3504273504273504</v>
      </c>
      <c r="J38" s="125">
        <v>11</v>
      </c>
      <c r="K38" s="124">
        <f>J38/E38</f>
        <v>9.4017094017094016E-2</v>
      </c>
      <c r="L38" s="125">
        <v>6</v>
      </c>
      <c r="M38" s="124">
        <f>L38/E38</f>
        <v>5.128205128205128E-2</v>
      </c>
      <c r="N38" s="126">
        <v>3</v>
      </c>
      <c r="O38" s="127">
        <f>N38/E38</f>
        <v>2.564102564102564E-2</v>
      </c>
      <c r="P38" s="125">
        <v>5</v>
      </c>
      <c r="Q38" s="124">
        <f>P38/E38</f>
        <v>4.2735042735042736E-2</v>
      </c>
      <c r="R38" s="126">
        <v>1</v>
      </c>
      <c r="S38" s="127">
        <f>R38/E38</f>
        <v>8.5470085470085479E-3</v>
      </c>
      <c r="U38" s="651">
        <f t="shared" si="2"/>
        <v>0.99999999999999989</v>
      </c>
      <c r="X38" s="169">
        <f>VLOOKUP(B38,'2324 Funding Detail'!$A$4:$M$20,13,(FALSE))</f>
        <v>128.33333333333334</v>
      </c>
      <c r="Y38" s="169">
        <f t="shared" si="3"/>
        <v>11.333333333333343</v>
      </c>
    </row>
    <row r="39" spans="2:25" ht="20.5" x14ac:dyDescent="0.25">
      <c r="B39" s="68">
        <v>9257002</v>
      </c>
      <c r="C39" s="166" t="s">
        <v>68</v>
      </c>
      <c r="D39" s="121">
        <v>4</v>
      </c>
      <c r="E39" s="597">
        <v>164</v>
      </c>
      <c r="F39" s="125">
        <v>29</v>
      </c>
      <c r="G39" s="124">
        <f>F39/E39</f>
        <v>0.17682926829268292</v>
      </c>
      <c r="H39" s="125">
        <v>85</v>
      </c>
      <c r="I39" s="124">
        <f>H39/E39</f>
        <v>0.51829268292682928</v>
      </c>
      <c r="J39" s="125">
        <v>21</v>
      </c>
      <c r="K39" s="124">
        <f>J39/E39</f>
        <v>0.12804878048780488</v>
      </c>
      <c r="L39" s="125">
        <v>6</v>
      </c>
      <c r="M39" s="124">
        <f>L39/E39</f>
        <v>3.6585365853658534E-2</v>
      </c>
      <c r="N39" s="126">
        <v>5</v>
      </c>
      <c r="O39" s="127">
        <f>N39/E39</f>
        <v>3.048780487804878E-2</v>
      </c>
      <c r="P39" s="125">
        <v>16</v>
      </c>
      <c r="Q39" s="124">
        <f>P39/E39</f>
        <v>9.7560975609756101E-2</v>
      </c>
      <c r="R39" s="126">
        <v>2</v>
      </c>
      <c r="S39" s="127">
        <f>R39/E39</f>
        <v>1.2195121951219513E-2</v>
      </c>
      <c r="U39" s="651">
        <f t="shared" si="2"/>
        <v>1</v>
      </c>
      <c r="X39" s="169">
        <f>VLOOKUP(B39,'2324 Funding Detail'!$A$4:$M$20,13,(FALSE))</f>
        <v>168.91666666666669</v>
      </c>
      <c r="Y39" s="169">
        <f t="shared" si="3"/>
        <v>4.9166666666666856</v>
      </c>
    </row>
    <row r="40" spans="2:25" ht="20.5" x14ac:dyDescent="0.25">
      <c r="B40" s="68">
        <v>9257009</v>
      </c>
      <c r="C40" s="166" t="s">
        <v>334</v>
      </c>
      <c r="D40" s="121">
        <v>4</v>
      </c>
      <c r="E40" s="597">
        <v>197</v>
      </c>
      <c r="F40" s="125">
        <v>34</v>
      </c>
      <c r="G40" s="124">
        <f>F40/E40</f>
        <v>0.17258883248730963</v>
      </c>
      <c r="H40" s="125">
        <v>100</v>
      </c>
      <c r="I40" s="124">
        <f>H40/E40</f>
        <v>0.50761421319796951</v>
      </c>
      <c r="J40" s="125">
        <v>13</v>
      </c>
      <c r="K40" s="124">
        <f>J40/E40</f>
        <v>6.5989847715736044E-2</v>
      </c>
      <c r="L40" s="125">
        <v>16</v>
      </c>
      <c r="M40" s="124">
        <f>L40/E40</f>
        <v>8.1218274111675121E-2</v>
      </c>
      <c r="N40" s="126">
        <f>1+6</f>
        <v>7</v>
      </c>
      <c r="O40" s="127">
        <f>N40/E40</f>
        <v>3.553299492385787E-2</v>
      </c>
      <c r="P40" s="125">
        <v>17</v>
      </c>
      <c r="Q40" s="124">
        <f>P40/E40</f>
        <v>8.6294416243654817E-2</v>
      </c>
      <c r="R40" s="126">
        <v>10</v>
      </c>
      <c r="S40" s="127">
        <f>R40/E40</f>
        <v>5.0761421319796954E-2</v>
      </c>
      <c r="U40" s="651">
        <f t="shared" si="2"/>
        <v>1</v>
      </c>
      <c r="X40" s="169">
        <f>VLOOKUP(B40,'2324 Funding Detail'!$A$4:$M$20,13,(FALSE))</f>
        <v>207.83333333333337</v>
      </c>
      <c r="Y40" s="169">
        <f t="shared" si="3"/>
        <v>10.833333333333371</v>
      </c>
    </row>
    <row r="41" spans="2:25" ht="20.5" x14ac:dyDescent="0.25">
      <c r="B41" s="68">
        <v>9257029</v>
      </c>
      <c r="C41" s="166" t="s">
        <v>278</v>
      </c>
      <c r="D41" s="121" t="s">
        <v>452</v>
      </c>
      <c r="E41" s="597">
        <f>F41+H41+J41+L41+N41+P41+R41</f>
        <v>0</v>
      </c>
      <c r="F41" s="125">
        <v>0</v>
      </c>
      <c r="G41" s="124">
        <v>0</v>
      </c>
      <c r="H41" s="125">
        <v>0</v>
      </c>
      <c r="I41" s="124">
        <v>0</v>
      </c>
      <c r="J41" s="125">
        <v>0</v>
      </c>
      <c r="K41" s="124">
        <v>1</v>
      </c>
      <c r="L41" s="125">
        <v>0</v>
      </c>
      <c r="M41" s="124">
        <v>0</v>
      </c>
      <c r="N41" s="126">
        <v>0</v>
      </c>
      <c r="O41" s="127">
        <v>0</v>
      </c>
      <c r="P41" s="125">
        <v>0</v>
      </c>
      <c r="Q41" s="124">
        <v>0</v>
      </c>
      <c r="R41" s="126">
        <v>0</v>
      </c>
      <c r="S41" s="127">
        <v>0</v>
      </c>
      <c r="U41" s="651">
        <f t="shared" si="2"/>
        <v>1</v>
      </c>
      <c r="X41" s="650">
        <f>VLOOKUP(B41,'2324 Funding Detail'!$A$4:$M$20,13,(FALSE))</f>
        <v>79</v>
      </c>
      <c r="Y41" s="650">
        <f t="shared" si="3"/>
        <v>79</v>
      </c>
    </row>
    <row r="42" spans="2:25" ht="20.5" x14ac:dyDescent="0.25">
      <c r="B42" s="68">
        <v>9257032</v>
      </c>
      <c r="C42" s="166" t="s">
        <v>266</v>
      </c>
      <c r="D42" s="121" t="s">
        <v>452</v>
      </c>
      <c r="E42" s="597">
        <f>F42+H42+J42+L42+N42+P42+R42</f>
        <v>0</v>
      </c>
      <c r="F42" s="125">
        <v>0</v>
      </c>
      <c r="G42" s="124">
        <v>0</v>
      </c>
      <c r="H42" s="125">
        <v>0</v>
      </c>
      <c r="I42" s="124">
        <v>0</v>
      </c>
      <c r="J42" s="125">
        <v>0</v>
      </c>
      <c r="K42" s="124">
        <v>1</v>
      </c>
      <c r="L42" s="125">
        <v>0</v>
      </c>
      <c r="M42" s="124">
        <v>0</v>
      </c>
      <c r="N42" s="126">
        <v>0</v>
      </c>
      <c r="O42" s="127">
        <v>0</v>
      </c>
      <c r="P42" s="125">
        <v>0</v>
      </c>
      <c r="Q42" s="124">
        <v>0</v>
      </c>
      <c r="R42" s="126">
        <v>0</v>
      </c>
      <c r="S42" s="127">
        <v>0</v>
      </c>
      <c r="U42" s="651">
        <f t="shared" si="2"/>
        <v>1</v>
      </c>
      <c r="X42" s="650">
        <f>VLOOKUP(B42,'2324 Funding Detail'!$A$4:$M$20,13,(FALSE))</f>
        <v>110.41666666666669</v>
      </c>
      <c r="Y42" s="650">
        <f t="shared" si="3"/>
        <v>110.41666666666669</v>
      </c>
    </row>
    <row r="43" spans="2:25" ht="20.5" x14ac:dyDescent="0.25">
      <c r="B43" s="68">
        <v>9257030</v>
      </c>
      <c r="C43" s="166" t="s">
        <v>268</v>
      </c>
      <c r="D43" s="121" t="s">
        <v>452</v>
      </c>
      <c r="E43" s="597">
        <f>F43+H43+J43+L43+N43+P43+R43</f>
        <v>0</v>
      </c>
      <c r="F43" s="123">
        <v>0</v>
      </c>
      <c r="G43" s="124">
        <v>0</v>
      </c>
      <c r="H43" s="125">
        <v>0</v>
      </c>
      <c r="I43" s="124">
        <v>0</v>
      </c>
      <c r="J43" s="125">
        <v>0</v>
      </c>
      <c r="K43" s="124">
        <v>1</v>
      </c>
      <c r="L43" s="125">
        <v>0</v>
      </c>
      <c r="M43" s="124">
        <v>0</v>
      </c>
      <c r="N43" s="126">
        <v>0</v>
      </c>
      <c r="O43" s="127">
        <v>0</v>
      </c>
      <c r="P43" s="125">
        <v>0</v>
      </c>
      <c r="Q43" s="124">
        <v>0</v>
      </c>
      <c r="R43" s="126">
        <v>0</v>
      </c>
      <c r="S43" s="127">
        <v>0</v>
      </c>
      <c r="U43" s="651">
        <f t="shared" si="2"/>
        <v>1</v>
      </c>
      <c r="X43" s="650">
        <f>VLOOKUP(B43,'2324 Funding Detail'!$A$4:$M$20,13,(FALSE))</f>
        <v>70</v>
      </c>
      <c r="Y43" s="650">
        <f t="shared" si="3"/>
        <v>70</v>
      </c>
    </row>
    <row r="44" spans="2:25" ht="20.5" x14ac:dyDescent="0.25">
      <c r="B44" s="68">
        <v>9257028</v>
      </c>
      <c r="C44" s="166" t="s">
        <v>70</v>
      </c>
      <c r="D44" s="121">
        <v>4</v>
      </c>
      <c r="E44" s="597">
        <v>122</v>
      </c>
      <c r="F44" s="125">
        <v>11</v>
      </c>
      <c r="G44" s="124">
        <f>F44/E44</f>
        <v>9.0163934426229511E-2</v>
      </c>
      <c r="H44" s="123">
        <v>56</v>
      </c>
      <c r="I44" s="124">
        <f>H44/E44</f>
        <v>0.45901639344262296</v>
      </c>
      <c r="J44" s="123">
        <v>8</v>
      </c>
      <c r="K44" s="124">
        <f>J44/E44</f>
        <v>6.5573770491803282E-2</v>
      </c>
      <c r="L44" s="123">
        <v>10</v>
      </c>
      <c r="M44" s="124">
        <f>L44/E44</f>
        <v>8.1967213114754092E-2</v>
      </c>
      <c r="N44" s="126">
        <v>11</v>
      </c>
      <c r="O44" s="127">
        <f>N44/E44</f>
        <v>9.0163934426229511E-2</v>
      </c>
      <c r="P44" s="123">
        <v>8</v>
      </c>
      <c r="Q44" s="124">
        <f>P44/E44</f>
        <v>6.5573770491803282E-2</v>
      </c>
      <c r="R44" s="126">
        <v>18</v>
      </c>
      <c r="S44" s="127">
        <f>R44/E44</f>
        <v>0.14754098360655737</v>
      </c>
      <c r="U44" s="651">
        <f t="shared" si="2"/>
        <v>1</v>
      </c>
      <c r="X44" s="169">
        <f>VLOOKUP(B44,'2324 Funding Detail'!$A$4:$M$20,13,(FALSE))</f>
        <v>138.66666666666669</v>
      </c>
      <c r="Y44" s="169">
        <f t="shared" si="3"/>
        <v>16.666666666666686</v>
      </c>
    </row>
    <row r="45" spans="2:25" ht="20.5" x14ac:dyDescent="0.25">
      <c r="B45" s="68">
        <v>9257021</v>
      </c>
      <c r="C45" s="166" t="s">
        <v>71</v>
      </c>
      <c r="D45" s="121" t="s">
        <v>453</v>
      </c>
      <c r="E45" s="597">
        <v>170</v>
      </c>
      <c r="F45" s="125">
        <v>36</v>
      </c>
      <c r="G45" s="124">
        <f>F45/E45</f>
        <v>0.21176470588235294</v>
      </c>
      <c r="H45" s="125">
        <v>89</v>
      </c>
      <c r="I45" s="124">
        <f>H45/E45</f>
        <v>0.52352941176470591</v>
      </c>
      <c r="J45" s="125">
        <v>18</v>
      </c>
      <c r="K45" s="124">
        <f>J45/E45</f>
        <v>0.10588235294117647</v>
      </c>
      <c r="L45" s="125">
        <v>12</v>
      </c>
      <c r="M45" s="124">
        <f>L45/E45</f>
        <v>7.0588235294117646E-2</v>
      </c>
      <c r="N45" s="126">
        <v>5</v>
      </c>
      <c r="O45" s="127">
        <f>N45/E45</f>
        <v>2.9411764705882353E-2</v>
      </c>
      <c r="P45" s="125">
        <v>8</v>
      </c>
      <c r="Q45" s="124">
        <f>P45/E45</f>
        <v>4.7058823529411764E-2</v>
      </c>
      <c r="R45" s="126">
        <v>2</v>
      </c>
      <c r="S45" s="127">
        <f>R45/E45</f>
        <v>1.1764705882352941E-2</v>
      </c>
      <c r="U45" s="651">
        <f t="shared" si="2"/>
        <v>1</v>
      </c>
      <c r="X45" s="169">
        <f>VLOOKUP(B45,'2324 Funding Detail'!$A$4:$M$20,13,(FALSE))</f>
        <v>178.58333333333334</v>
      </c>
      <c r="Y45" s="169">
        <f t="shared" si="3"/>
        <v>8.5833333333333428</v>
      </c>
    </row>
    <row r="46" spans="2:25" ht="30.5" x14ac:dyDescent="0.25">
      <c r="B46" s="68">
        <v>9257015</v>
      </c>
      <c r="C46" s="166" t="s">
        <v>72</v>
      </c>
      <c r="D46" s="121" t="s">
        <v>454</v>
      </c>
      <c r="E46" s="597">
        <v>226</v>
      </c>
      <c r="F46" s="125">
        <v>61</v>
      </c>
      <c r="G46" s="124">
        <f>F46/E46</f>
        <v>0.26991150442477874</v>
      </c>
      <c r="H46" s="125">
        <v>95</v>
      </c>
      <c r="I46" s="124">
        <f>H46/E46</f>
        <v>0.42035398230088494</v>
      </c>
      <c r="J46" s="125">
        <v>5</v>
      </c>
      <c r="K46" s="124">
        <f>J46/E46</f>
        <v>2.2123893805309734E-2</v>
      </c>
      <c r="L46" s="125">
        <v>20</v>
      </c>
      <c r="M46" s="124">
        <f>L46/E46</f>
        <v>8.8495575221238937E-2</v>
      </c>
      <c r="N46" s="126">
        <v>5</v>
      </c>
      <c r="O46" s="127">
        <f>N46/E46</f>
        <v>2.2123893805309734E-2</v>
      </c>
      <c r="P46" s="125">
        <v>36</v>
      </c>
      <c r="Q46" s="124">
        <f>P46/E46</f>
        <v>0.15929203539823009</v>
      </c>
      <c r="R46" s="126">
        <v>4</v>
      </c>
      <c r="S46" s="127">
        <f>R46/E46</f>
        <v>1.7699115044247787E-2</v>
      </c>
      <c r="U46" s="651">
        <f t="shared" si="2"/>
        <v>1</v>
      </c>
      <c r="X46" s="169">
        <f>VLOOKUP(B46,'2324 Funding Detail'!$A$4:$M$20,13,(FALSE))</f>
        <v>234.33333333333337</v>
      </c>
      <c r="Y46" s="169">
        <f t="shared" si="3"/>
        <v>8.3333333333333712</v>
      </c>
    </row>
    <row r="47" spans="2:25" ht="20.5" x14ac:dyDescent="0.25">
      <c r="B47" s="68">
        <v>9257016</v>
      </c>
      <c r="C47" s="166" t="s">
        <v>73</v>
      </c>
      <c r="D47" s="121" t="s">
        <v>454</v>
      </c>
      <c r="E47" s="597">
        <v>160</v>
      </c>
      <c r="F47" s="125">
        <v>19</v>
      </c>
      <c r="G47" s="124">
        <f>F47/E47</f>
        <v>0.11874999999999999</v>
      </c>
      <c r="H47" s="125">
        <v>34</v>
      </c>
      <c r="I47" s="124">
        <f>H47/E47</f>
        <v>0.21249999999999999</v>
      </c>
      <c r="J47" s="125">
        <v>2</v>
      </c>
      <c r="K47" s="124">
        <f>J47/E47</f>
        <v>1.2500000000000001E-2</v>
      </c>
      <c r="L47" s="125">
        <v>39</v>
      </c>
      <c r="M47" s="124">
        <f>L47/E47</f>
        <v>0.24374999999999999</v>
      </c>
      <c r="N47" s="126">
        <v>29</v>
      </c>
      <c r="O47" s="127">
        <f>N47/E47</f>
        <v>0.18124999999999999</v>
      </c>
      <c r="P47" s="125">
        <v>3</v>
      </c>
      <c r="Q47" s="124">
        <f>P47/E47</f>
        <v>1.8749999999999999E-2</v>
      </c>
      <c r="R47" s="126">
        <v>34</v>
      </c>
      <c r="S47" s="127">
        <f>R47/E47</f>
        <v>0.21249999999999999</v>
      </c>
      <c r="U47" s="651">
        <f t="shared" si="2"/>
        <v>1</v>
      </c>
      <c r="X47" s="169">
        <f>VLOOKUP(B47,'2324 Funding Detail'!$A$4:$M$20,13,(FALSE))</f>
        <v>165.16666666666669</v>
      </c>
      <c r="Y47" s="169">
        <f t="shared" si="3"/>
        <v>5.1666666666666856</v>
      </c>
    </row>
    <row r="48" spans="2:25" x14ac:dyDescent="0.25">
      <c r="X48" s="169"/>
      <c r="Y48" s="169"/>
    </row>
    <row r="49" spans="2:19" ht="13" x14ac:dyDescent="0.3">
      <c r="E49" s="599">
        <f>SUM(E31:E47)</f>
        <v>1763</v>
      </c>
      <c r="F49" s="169">
        <f>SUM(F31:F48)</f>
        <v>312</v>
      </c>
      <c r="G49" s="609">
        <f>SUM(G31:G47)</f>
        <v>2.1684855166819701</v>
      </c>
      <c r="H49" s="169">
        <f>SUM(H31:H48)</f>
        <v>824</v>
      </c>
      <c r="I49" s="609">
        <f>SUM(I31:I47)</f>
        <v>6.1674589954817707</v>
      </c>
      <c r="J49" s="169">
        <f>SUM(J31:J48)</f>
        <v>104</v>
      </c>
      <c r="K49" s="609">
        <f>SUM(K31:K47)</f>
        <v>4.7537685761070589</v>
      </c>
      <c r="L49" s="169">
        <f>SUM(L31:L48)</f>
        <v>188</v>
      </c>
      <c r="M49" s="609">
        <f>SUM(M31:M47)</f>
        <v>1.4283037842867372</v>
      </c>
      <c r="N49" s="169">
        <f>SUM(N31:N48)</f>
        <v>96</v>
      </c>
      <c r="O49" s="609">
        <f>SUM(O31:O47)</f>
        <v>0.72785736952436064</v>
      </c>
      <c r="P49" s="169">
        <f>SUM(P31:P48)</f>
        <v>139</v>
      </c>
      <c r="Q49" s="609">
        <f>SUM(Q31:Q47)</f>
        <v>1.009107255847393</v>
      </c>
      <c r="R49" s="169">
        <f>SUM(R31:R48)</f>
        <v>100</v>
      </c>
      <c r="S49" s="609">
        <f>SUM(S31:S47)</f>
        <v>0.74501850207070874</v>
      </c>
    </row>
    <row r="50" spans="2:19" ht="13" x14ac:dyDescent="0.3">
      <c r="E50" s="599">
        <f>SUM(F50,H50,J50,L50,N50,P50,R50)</f>
        <v>2103</v>
      </c>
      <c r="F50" s="169">
        <f>F49</f>
        <v>312</v>
      </c>
      <c r="G50" s="609">
        <f>F50/E50</f>
        <v>0.14835948644793154</v>
      </c>
      <c r="H50" s="169">
        <f>H49</f>
        <v>824</v>
      </c>
      <c r="I50" s="609">
        <f>H50/E50</f>
        <v>0.39182120779838325</v>
      </c>
      <c r="J50" s="169">
        <f>J49+X35+X41+X42+X43</f>
        <v>444.00000000000006</v>
      </c>
      <c r="K50" s="609">
        <f>J50/E50</f>
        <v>0.21112696148359489</v>
      </c>
      <c r="L50" s="169">
        <f>L49</f>
        <v>188</v>
      </c>
      <c r="M50" s="609">
        <f>L50/E50</f>
        <v>8.9396100808369003E-2</v>
      </c>
      <c r="N50" s="169">
        <f>N49</f>
        <v>96</v>
      </c>
      <c r="O50" s="609">
        <f>N50/E50</f>
        <v>4.5649072753209702E-2</v>
      </c>
      <c r="P50" s="169">
        <f>P49</f>
        <v>139</v>
      </c>
      <c r="Q50" s="609">
        <f>P50/E50</f>
        <v>6.6096053257251541E-2</v>
      </c>
      <c r="R50" s="169">
        <f>R49</f>
        <v>100</v>
      </c>
      <c r="S50" s="168">
        <f>R50/E50</f>
        <v>4.7551117451260103E-2</v>
      </c>
    </row>
    <row r="51" spans="2:19" ht="13" x14ac:dyDescent="0.3">
      <c r="B51" s="167"/>
      <c r="C51" s="109"/>
      <c r="D51" s="109"/>
      <c r="E51" s="109"/>
      <c r="F51" s="612">
        <f>F50/$E$24</f>
        <v>0.14513878120638857</v>
      </c>
      <c r="G51" s="612"/>
      <c r="H51" s="612">
        <f>H50/$E$24</f>
        <v>0.38331524267328265</v>
      </c>
      <c r="I51" s="612"/>
      <c r="J51" s="612">
        <f>J50/$E$24</f>
        <v>0.20654365017832221</v>
      </c>
      <c r="K51" s="612"/>
      <c r="L51" s="612">
        <f>L50/$E$24</f>
        <v>8.7455419444875157E-2</v>
      </c>
      <c r="M51" s="612"/>
      <c r="N51" s="612">
        <f>N50/$E$24</f>
        <v>4.4658086525042634E-2</v>
      </c>
      <c r="O51" s="612"/>
      <c r="P51" s="612">
        <f>P50/$E$24</f>
        <v>6.4661187781051316E-2</v>
      </c>
      <c r="Q51" s="612"/>
      <c r="R51" s="612">
        <f>R50/$E$24</f>
        <v>4.6518840130252745E-2</v>
      </c>
      <c r="S51" s="109"/>
    </row>
    <row r="53" spans="2:19" ht="21" x14ac:dyDescent="0.25">
      <c r="B53" s="109"/>
      <c r="C53" s="114" t="s">
        <v>49</v>
      </c>
      <c r="D53" s="114" t="s">
        <v>50</v>
      </c>
      <c r="E53" s="115" t="s">
        <v>257</v>
      </c>
      <c r="F53" s="116" t="s">
        <v>229</v>
      </c>
      <c r="G53" s="117" t="s">
        <v>280</v>
      </c>
      <c r="H53" s="116" t="s">
        <v>230</v>
      </c>
      <c r="I53" s="117" t="s">
        <v>290</v>
      </c>
      <c r="J53" s="116" t="s">
        <v>231</v>
      </c>
      <c r="K53" s="117" t="s">
        <v>291</v>
      </c>
      <c r="L53" s="116" t="s">
        <v>232</v>
      </c>
      <c r="M53" s="117" t="s">
        <v>292</v>
      </c>
      <c r="N53" s="118" t="s">
        <v>233</v>
      </c>
      <c r="O53" s="119" t="s">
        <v>293</v>
      </c>
      <c r="P53" s="116" t="s">
        <v>234</v>
      </c>
      <c r="Q53" s="117" t="s">
        <v>294</v>
      </c>
      <c r="R53" s="118" t="s">
        <v>235</v>
      </c>
      <c r="S53" s="119" t="s">
        <v>295</v>
      </c>
    </row>
    <row r="54" spans="2:19" ht="20.5" x14ac:dyDescent="0.25">
      <c r="B54" s="68">
        <v>9257010</v>
      </c>
      <c r="C54" s="166" t="s">
        <v>439</v>
      </c>
      <c r="D54" s="121">
        <v>4</v>
      </c>
      <c r="E54" s="597">
        <f t="shared" ref="E54:S54" si="4">E5-E31</f>
        <v>-3</v>
      </c>
      <c r="F54" s="123">
        <f t="shared" si="4"/>
        <v>-3</v>
      </c>
      <c r="G54" s="124">
        <f t="shared" si="4"/>
        <v>-1.8341454445159514E-2</v>
      </c>
      <c r="H54" s="123">
        <f t="shared" si="4"/>
        <v>-9</v>
      </c>
      <c r="I54" s="124">
        <f t="shared" si="4"/>
        <v>-5.2404155557598642E-2</v>
      </c>
      <c r="J54" s="123">
        <f t="shared" si="4"/>
        <v>-2</v>
      </c>
      <c r="K54" s="124">
        <f t="shared" si="4"/>
        <v>-1.245747908430634E-2</v>
      </c>
      <c r="L54" s="123">
        <f t="shared" si="4"/>
        <v>7</v>
      </c>
      <c r="M54" s="124">
        <f t="shared" si="4"/>
        <v>5.1254941619931965E-2</v>
      </c>
      <c r="N54" s="123">
        <f t="shared" si="4"/>
        <v>-3</v>
      </c>
      <c r="O54" s="124">
        <f t="shared" si="4"/>
        <v>-1.90309828077595E-2</v>
      </c>
      <c r="P54" s="123">
        <f t="shared" si="4"/>
        <v>4</v>
      </c>
      <c r="Q54" s="124">
        <f t="shared" si="4"/>
        <v>2.877631699917256E-2</v>
      </c>
      <c r="R54" s="123">
        <f t="shared" si="4"/>
        <v>3</v>
      </c>
      <c r="S54" s="124">
        <f t="shared" si="4"/>
        <v>2.2202813275719407E-2</v>
      </c>
    </row>
    <row r="55" spans="2:19" ht="20.5" x14ac:dyDescent="0.25">
      <c r="B55" s="68">
        <v>9257005</v>
      </c>
      <c r="C55" s="166" t="s">
        <v>63</v>
      </c>
      <c r="D55" s="121" t="s">
        <v>451</v>
      </c>
      <c r="E55" s="597">
        <f t="shared" ref="E55:G70" si="5">E6-E32</f>
        <v>0</v>
      </c>
      <c r="F55" s="123">
        <f t="shared" si="5"/>
        <v>-2</v>
      </c>
      <c r="G55" s="124">
        <f t="shared" si="5"/>
        <v>-2.8169014084507039E-2</v>
      </c>
      <c r="H55" s="123">
        <f t="shared" ref="H55:I70" si="6">H6-H32</f>
        <v>-12</v>
      </c>
      <c r="I55" s="124">
        <f t="shared" si="6"/>
        <v>-0.16901408450704222</v>
      </c>
      <c r="J55" s="123">
        <f t="shared" ref="J55:K70" si="7">J6-J32</f>
        <v>2</v>
      </c>
      <c r="K55" s="124">
        <f t="shared" si="7"/>
        <v>2.8169014084507046E-2</v>
      </c>
      <c r="L55" s="123">
        <f t="shared" ref="L55:M70" si="8">L6-L32</f>
        <v>4</v>
      </c>
      <c r="M55" s="124">
        <f t="shared" si="8"/>
        <v>5.6338028169014093E-2</v>
      </c>
      <c r="N55" s="123">
        <f t="shared" ref="N55:O70" si="9">N6-N32</f>
        <v>1</v>
      </c>
      <c r="O55" s="124">
        <f t="shared" si="9"/>
        <v>1.4084507042253516E-2</v>
      </c>
      <c r="P55" s="123">
        <f t="shared" ref="P55:Q70" si="10">P6-P32</f>
        <v>3</v>
      </c>
      <c r="Q55" s="124">
        <f t="shared" si="10"/>
        <v>4.2253521126760563E-2</v>
      </c>
      <c r="R55" s="123">
        <f t="shared" ref="R55:S70" si="11">R6-R32</f>
        <v>4</v>
      </c>
      <c r="S55" s="124">
        <f t="shared" si="11"/>
        <v>5.6338028169014079E-2</v>
      </c>
    </row>
    <row r="56" spans="2:19" ht="20.5" x14ac:dyDescent="0.25">
      <c r="B56" s="68">
        <v>9257025</v>
      </c>
      <c r="C56" s="166" t="s">
        <v>64</v>
      </c>
      <c r="D56" s="121">
        <v>4</v>
      </c>
      <c r="E56" s="597">
        <f t="shared" si="5"/>
        <v>6</v>
      </c>
      <c r="F56" s="123">
        <f t="shared" si="5"/>
        <v>-4</v>
      </c>
      <c r="G56" s="124">
        <f t="shared" si="5"/>
        <v>-0.05</v>
      </c>
      <c r="H56" s="123">
        <f t="shared" si="6"/>
        <v>14</v>
      </c>
      <c r="I56" s="124">
        <f t="shared" si="6"/>
        <v>0.11250000000000004</v>
      </c>
      <c r="J56" s="123">
        <f t="shared" si="7"/>
        <v>0</v>
      </c>
      <c r="K56" s="124">
        <f t="shared" si="7"/>
        <v>-2.7777777777777818E-3</v>
      </c>
      <c r="L56" s="123">
        <f t="shared" si="8"/>
        <v>2</v>
      </c>
      <c r="M56" s="124">
        <f t="shared" si="8"/>
        <v>1.3888888888888895E-2</v>
      </c>
      <c r="N56" s="123">
        <f t="shared" si="9"/>
        <v>-1</v>
      </c>
      <c r="O56" s="124">
        <f t="shared" si="9"/>
        <v>-1.1111111111111112E-2</v>
      </c>
      <c r="P56" s="123">
        <f t="shared" si="10"/>
        <v>-4</v>
      </c>
      <c r="Q56" s="124">
        <f t="shared" si="10"/>
        <v>-4.9305555555555547E-2</v>
      </c>
      <c r="R56" s="123">
        <f t="shared" si="11"/>
        <v>-1</v>
      </c>
      <c r="S56" s="124">
        <f t="shared" si="11"/>
        <v>-1.3194444444444446E-2</v>
      </c>
    </row>
    <row r="57" spans="2:19" ht="20.5" x14ac:dyDescent="0.25">
      <c r="B57" s="68">
        <v>9257024</v>
      </c>
      <c r="C57" s="166" t="s">
        <v>66</v>
      </c>
      <c r="D57" s="121">
        <v>4</v>
      </c>
      <c r="E57" s="597">
        <f t="shared" si="5"/>
        <v>10</v>
      </c>
      <c r="F57" s="123">
        <f t="shared" si="5"/>
        <v>3</v>
      </c>
      <c r="G57" s="124">
        <f t="shared" si="5"/>
        <v>2.2910216718266249E-2</v>
      </c>
      <c r="H57" s="123">
        <f t="shared" si="6"/>
        <v>8</v>
      </c>
      <c r="I57" s="124">
        <f t="shared" si="6"/>
        <v>2.7244582043343679E-2</v>
      </c>
      <c r="J57" s="123">
        <f t="shared" si="7"/>
        <v>1</v>
      </c>
      <c r="K57" s="124">
        <f t="shared" si="7"/>
        <v>9.2879256965944269E-3</v>
      </c>
      <c r="L57" s="123">
        <f t="shared" si="8"/>
        <v>-1</v>
      </c>
      <c r="M57" s="124">
        <f t="shared" si="8"/>
        <v>-2.9102167182662564E-2</v>
      </c>
      <c r="N57" s="123">
        <f t="shared" si="9"/>
        <v>0</v>
      </c>
      <c r="O57" s="124">
        <f t="shared" si="9"/>
        <v>-7.4303405572755388E-3</v>
      </c>
      <c r="P57" s="123">
        <f t="shared" si="10"/>
        <v>0</v>
      </c>
      <c r="Q57" s="124">
        <f t="shared" si="10"/>
        <v>-4.9535603715170282E-3</v>
      </c>
      <c r="R57" s="123">
        <f t="shared" si="11"/>
        <v>-1</v>
      </c>
      <c r="S57" s="124">
        <f t="shared" si="11"/>
        <v>-1.7956656346749228E-2</v>
      </c>
    </row>
    <row r="58" spans="2:19" ht="20.5" x14ac:dyDescent="0.25">
      <c r="B58" s="68">
        <v>9257031</v>
      </c>
      <c r="C58" s="166" t="s">
        <v>84</v>
      </c>
      <c r="D58" s="121" t="s">
        <v>452</v>
      </c>
      <c r="E58" s="597">
        <f t="shared" si="5"/>
        <v>0</v>
      </c>
      <c r="F58" s="123">
        <f t="shared" si="5"/>
        <v>0</v>
      </c>
      <c r="G58" s="124">
        <f t="shared" si="5"/>
        <v>0</v>
      </c>
      <c r="H58" s="123">
        <f t="shared" si="6"/>
        <v>0</v>
      </c>
      <c r="I58" s="124">
        <f t="shared" si="6"/>
        <v>0</v>
      </c>
      <c r="J58" s="123">
        <f t="shared" si="7"/>
        <v>0</v>
      </c>
      <c r="K58" s="124">
        <f t="shared" si="7"/>
        <v>0</v>
      </c>
      <c r="L58" s="123">
        <f t="shared" si="8"/>
        <v>0</v>
      </c>
      <c r="M58" s="124">
        <f t="shared" si="8"/>
        <v>0</v>
      </c>
      <c r="N58" s="123">
        <f t="shared" si="9"/>
        <v>0</v>
      </c>
      <c r="O58" s="124">
        <f t="shared" si="9"/>
        <v>0</v>
      </c>
      <c r="P58" s="123">
        <f t="shared" si="10"/>
        <v>0</v>
      </c>
      <c r="Q58" s="124">
        <f t="shared" si="10"/>
        <v>0</v>
      </c>
      <c r="R58" s="123">
        <f t="shared" si="11"/>
        <v>0</v>
      </c>
      <c r="S58" s="124">
        <f t="shared" si="11"/>
        <v>0</v>
      </c>
    </row>
    <row r="59" spans="2:19" ht="30.5" x14ac:dyDescent="0.25">
      <c r="B59" s="68">
        <v>9257033</v>
      </c>
      <c r="C59" s="166" t="s">
        <v>74</v>
      </c>
      <c r="D59" s="121" t="s">
        <v>451</v>
      </c>
      <c r="E59" s="597">
        <f t="shared" si="5"/>
        <v>2</v>
      </c>
      <c r="F59" s="123">
        <f t="shared" si="5"/>
        <v>-1</v>
      </c>
      <c r="G59" s="124">
        <f t="shared" si="5"/>
        <v>-1.1241329825400631E-2</v>
      </c>
      <c r="H59" s="123">
        <f t="shared" si="6"/>
        <v>2</v>
      </c>
      <c r="I59" s="124">
        <f t="shared" si="6"/>
        <v>5.7402535278641142E-3</v>
      </c>
      <c r="J59" s="123">
        <f t="shared" si="7"/>
        <v>1</v>
      </c>
      <c r="K59" s="124">
        <f t="shared" si="7"/>
        <v>8.6901060352387784E-3</v>
      </c>
      <c r="L59" s="123">
        <f t="shared" si="8"/>
        <v>2</v>
      </c>
      <c r="M59" s="124">
        <f t="shared" si="8"/>
        <v>1.6104600175396638E-2</v>
      </c>
      <c r="N59" s="123">
        <f t="shared" si="9"/>
        <v>-1</v>
      </c>
      <c r="O59" s="124">
        <f t="shared" si="9"/>
        <v>-9.6468149565494682E-3</v>
      </c>
      <c r="P59" s="123">
        <f t="shared" si="10"/>
        <v>-2</v>
      </c>
      <c r="Q59" s="124">
        <f t="shared" si="10"/>
        <v>-1.8177469504903135E-2</v>
      </c>
      <c r="R59" s="123">
        <f t="shared" si="11"/>
        <v>1</v>
      </c>
      <c r="S59" s="124">
        <f t="shared" si="11"/>
        <v>8.5306545483536632E-3</v>
      </c>
    </row>
    <row r="60" spans="2:19" ht="20.5" x14ac:dyDescent="0.25">
      <c r="B60" s="68">
        <v>9257008</v>
      </c>
      <c r="C60" s="166" t="s">
        <v>67</v>
      </c>
      <c r="D60" s="121">
        <v>4</v>
      </c>
      <c r="E60" s="597">
        <f t="shared" si="5"/>
        <v>0</v>
      </c>
      <c r="F60" s="123">
        <f t="shared" si="5"/>
        <v>-7</v>
      </c>
      <c r="G60" s="124">
        <f t="shared" si="5"/>
        <v>-6.9306930693069313E-2</v>
      </c>
      <c r="H60" s="123">
        <f t="shared" si="6"/>
        <v>2</v>
      </c>
      <c r="I60" s="124">
        <f t="shared" si="6"/>
        <v>1.980198019801982E-2</v>
      </c>
      <c r="J60" s="123">
        <f t="shared" si="7"/>
        <v>0</v>
      </c>
      <c r="K60" s="124">
        <f t="shared" si="7"/>
        <v>0</v>
      </c>
      <c r="L60" s="123">
        <f t="shared" si="8"/>
        <v>3</v>
      </c>
      <c r="M60" s="124">
        <f t="shared" si="8"/>
        <v>2.9702970297029715E-2</v>
      </c>
      <c r="N60" s="123">
        <f t="shared" si="9"/>
        <v>0</v>
      </c>
      <c r="O60" s="124">
        <f t="shared" si="9"/>
        <v>0</v>
      </c>
      <c r="P60" s="123">
        <f t="shared" si="10"/>
        <v>2</v>
      </c>
      <c r="Q60" s="124">
        <f t="shared" si="10"/>
        <v>1.9801980198019806E-2</v>
      </c>
      <c r="R60" s="123">
        <f t="shared" si="11"/>
        <v>0</v>
      </c>
      <c r="S60" s="124">
        <f t="shared" si="11"/>
        <v>0</v>
      </c>
    </row>
    <row r="61" spans="2:19" ht="20.5" x14ac:dyDescent="0.25">
      <c r="B61" s="68">
        <v>9257034</v>
      </c>
      <c r="C61" s="166" t="s">
        <v>75</v>
      </c>
      <c r="D61" s="121" t="s">
        <v>451</v>
      </c>
      <c r="E61" s="597">
        <f t="shared" si="5"/>
        <v>13</v>
      </c>
      <c r="F61" s="123">
        <f t="shared" si="5"/>
        <v>-1</v>
      </c>
      <c r="G61" s="124">
        <f t="shared" si="5"/>
        <v>-5.0427350427350415E-2</v>
      </c>
      <c r="H61" s="123">
        <f t="shared" si="6"/>
        <v>11</v>
      </c>
      <c r="I61" s="124">
        <f t="shared" si="6"/>
        <v>4.9572649572649619E-2</v>
      </c>
      <c r="J61" s="123">
        <f t="shared" si="7"/>
        <v>-1</v>
      </c>
      <c r="K61" s="124">
        <f t="shared" si="7"/>
        <v>-1.7094017094017089E-2</v>
      </c>
      <c r="L61" s="123">
        <f t="shared" si="8"/>
        <v>2</v>
      </c>
      <c r="M61" s="124">
        <f t="shared" si="8"/>
        <v>1.0256410256410262E-2</v>
      </c>
      <c r="N61" s="123">
        <f t="shared" si="9"/>
        <v>-1</v>
      </c>
      <c r="O61" s="124">
        <f t="shared" si="9"/>
        <v>-1.0256410256410255E-2</v>
      </c>
      <c r="P61" s="123">
        <f t="shared" si="10"/>
        <v>2</v>
      </c>
      <c r="Q61" s="124">
        <f t="shared" si="10"/>
        <v>1.1111111111111113E-2</v>
      </c>
      <c r="R61" s="123">
        <f t="shared" si="11"/>
        <v>1</v>
      </c>
      <c r="S61" s="124">
        <f t="shared" si="11"/>
        <v>6.8376068376068376E-3</v>
      </c>
    </row>
    <row r="62" spans="2:19" ht="20.5" x14ac:dyDescent="0.25">
      <c r="B62" s="68">
        <v>9257002</v>
      </c>
      <c r="C62" s="166" t="s">
        <v>68</v>
      </c>
      <c r="D62" s="121">
        <v>4</v>
      </c>
      <c r="E62" s="597">
        <f t="shared" si="5"/>
        <v>-8</v>
      </c>
      <c r="F62" s="123">
        <f t="shared" si="5"/>
        <v>-5</v>
      </c>
      <c r="G62" s="124">
        <f t="shared" si="5"/>
        <v>-2.2983114446529063E-2</v>
      </c>
      <c r="H62" s="123">
        <f t="shared" si="6"/>
        <v>-1</v>
      </c>
      <c r="I62" s="124">
        <f t="shared" si="6"/>
        <v>2.0168855534709151E-2</v>
      </c>
      <c r="J62" s="123">
        <f t="shared" si="7"/>
        <v>-1</v>
      </c>
      <c r="K62" s="124">
        <f t="shared" si="7"/>
        <v>1.5634771732331298E-4</v>
      </c>
      <c r="L62" s="123">
        <f t="shared" si="8"/>
        <v>2</v>
      </c>
      <c r="M62" s="124">
        <f t="shared" si="8"/>
        <v>1.4696685428392746E-2</v>
      </c>
      <c r="N62" s="123">
        <f t="shared" si="9"/>
        <v>-1</v>
      </c>
      <c r="O62" s="124">
        <f t="shared" si="9"/>
        <v>-4.8467792370231397E-3</v>
      </c>
      <c r="P62" s="123">
        <f t="shared" si="10"/>
        <v>-2</v>
      </c>
      <c r="Q62" s="124">
        <f t="shared" si="10"/>
        <v>-7.817385866166357E-3</v>
      </c>
      <c r="R62" s="123">
        <f t="shared" si="11"/>
        <v>0</v>
      </c>
      <c r="S62" s="124">
        <f t="shared" si="11"/>
        <v>6.2539086929330745E-4</v>
      </c>
    </row>
    <row r="63" spans="2:19" ht="20.5" x14ac:dyDescent="0.25">
      <c r="B63" s="68">
        <v>9257009</v>
      </c>
      <c r="C63" s="166" t="s">
        <v>334</v>
      </c>
      <c r="D63" s="121">
        <v>4</v>
      </c>
      <c r="E63" s="597">
        <f t="shared" si="5"/>
        <v>4</v>
      </c>
      <c r="F63" s="123">
        <f t="shared" si="5"/>
        <v>3</v>
      </c>
      <c r="G63" s="124">
        <f t="shared" si="5"/>
        <v>1.1490769502740111E-2</v>
      </c>
      <c r="H63" s="123">
        <f t="shared" si="6"/>
        <v>0</v>
      </c>
      <c r="I63" s="124">
        <f t="shared" si="6"/>
        <v>-1.0101775387024226E-2</v>
      </c>
      <c r="J63" s="123">
        <f t="shared" si="7"/>
        <v>1</v>
      </c>
      <c r="K63" s="124">
        <f t="shared" si="7"/>
        <v>3.6618935777962963E-3</v>
      </c>
      <c r="L63" s="123">
        <f t="shared" si="8"/>
        <v>-2</v>
      </c>
      <c r="M63" s="124">
        <f t="shared" si="8"/>
        <v>-1.156653281814278E-2</v>
      </c>
      <c r="N63" s="123">
        <f t="shared" si="9"/>
        <v>0</v>
      </c>
      <c r="O63" s="124">
        <f t="shared" si="9"/>
        <v>-7.0712427709170023E-4</v>
      </c>
      <c r="P63" s="123">
        <f t="shared" si="10"/>
        <v>0</v>
      </c>
      <c r="Q63" s="124">
        <f t="shared" si="10"/>
        <v>-1.7173018157941172E-3</v>
      </c>
      <c r="R63" s="123">
        <f t="shared" si="11"/>
        <v>2</v>
      </c>
      <c r="S63" s="124">
        <f t="shared" si="11"/>
        <v>8.9400712175164779E-3</v>
      </c>
    </row>
    <row r="64" spans="2:19" ht="20.5" x14ac:dyDescent="0.25">
      <c r="B64" s="68">
        <v>9257029</v>
      </c>
      <c r="C64" s="166" t="s">
        <v>278</v>
      </c>
      <c r="D64" s="121" t="s">
        <v>452</v>
      </c>
      <c r="E64" s="597">
        <f t="shared" si="5"/>
        <v>0</v>
      </c>
      <c r="F64" s="123">
        <f t="shared" si="5"/>
        <v>0</v>
      </c>
      <c r="G64" s="124">
        <f t="shared" si="5"/>
        <v>0</v>
      </c>
      <c r="H64" s="123">
        <f t="shared" si="6"/>
        <v>0</v>
      </c>
      <c r="I64" s="124">
        <f t="shared" si="6"/>
        <v>0</v>
      </c>
      <c r="J64" s="123">
        <f t="shared" si="7"/>
        <v>0</v>
      </c>
      <c r="K64" s="124">
        <f t="shared" si="7"/>
        <v>0</v>
      </c>
      <c r="L64" s="123">
        <f t="shared" si="8"/>
        <v>0</v>
      </c>
      <c r="M64" s="124">
        <f t="shared" si="8"/>
        <v>0</v>
      </c>
      <c r="N64" s="123">
        <f t="shared" si="9"/>
        <v>0</v>
      </c>
      <c r="O64" s="124">
        <f t="shared" si="9"/>
        <v>0</v>
      </c>
      <c r="P64" s="123">
        <f t="shared" si="10"/>
        <v>0</v>
      </c>
      <c r="Q64" s="124">
        <f t="shared" si="10"/>
        <v>0</v>
      </c>
      <c r="R64" s="123">
        <f t="shared" si="11"/>
        <v>0</v>
      </c>
      <c r="S64" s="124">
        <f t="shared" si="11"/>
        <v>0</v>
      </c>
    </row>
    <row r="65" spans="2:19" ht="20.5" x14ac:dyDescent="0.25">
      <c r="B65" s="68">
        <v>9257032</v>
      </c>
      <c r="C65" s="166" t="s">
        <v>266</v>
      </c>
      <c r="D65" s="121" t="s">
        <v>452</v>
      </c>
      <c r="E65" s="597">
        <f t="shared" si="5"/>
        <v>0</v>
      </c>
      <c r="F65" s="123">
        <f t="shared" si="5"/>
        <v>0</v>
      </c>
      <c r="G65" s="124">
        <f t="shared" si="5"/>
        <v>0</v>
      </c>
      <c r="H65" s="123">
        <f t="shared" si="6"/>
        <v>0</v>
      </c>
      <c r="I65" s="124">
        <f t="shared" si="6"/>
        <v>0</v>
      </c>
      <c r="J65" s="123">
        <f t="shared" si="7"/>
        <v>0</v>
      </c>
      <c r="K65" s="124">
        <f t="shared" si="7"/>
        <v>0</v>
      </c>
      <c r="L65" s="123">
        <f t="shared" si="8"/>
        <v>0</v>
      </c>
      <c r="M65" s="124">
        <f t="shared" si="8"/>
        <v>0</v>
      </c>
      <c r="N65" s="123">
        <f t="shared" si="9"/>
        <v>0</v>
      </c>
      <c r="O65" s="124">
        <f t="shared" si="9"/>
        <v>0</v>
      </c>
      <c r="P65" s="123">
        <f t="shared" si="10"/>
        <v>0</v>
      </c>
      <c r="Q65" s="124">
        <f t="shared" si="10"/>
        <v>0</v>
      </c>
      <c r="R65" s="123">
        <f t="shared" si="11"/>
        <v>0</v>
      </c>
      <c r="S65" s="124">
        <f t="shared" si="11"/>
        <v>0</v>
      </c>
    </row>
    <row r="66" spans="2:19" ht="20.5" x14ac:dyDescent="0.25">
      <c r="B66" s="68">
        <v>9257030</v>
      </c>
      <c r="C66" s="166" t="s">
        <v>268</v>
      </c>
      <c r="D66" s="121" t="s">
        <v>452</v>
      </c>
      <c r="E66" s="597">
        <f t="shared" si="5"/>
        <v>0</v>
      </c>
      <c r="F66" s="123">
        <f t="shared" si="5"/>
        <v>0</v>
      </c>
      <c r="G66" s="124">
        <f t="shared" si="5"/>
        <v>0</v>
      </c>
      <c r="H66" s="123">
        <f t="shared" si="6"/>
        <v>0</v>
      </c>
      <c r="I66" s="124">
        <f t="shared" si="6"/>
        <v>0</v>
      </c>
      <c r="J66" s="123">
        <f t="shared" si="7"/>
        <v>0</v>
      </c>
      <c r="K66" s="124">
        <f t="shared" si="7"/>
        <v>0</v>
      </c>
      <c r="L66" s="123">
        <f t="shared" si="8"/>
        <v>0</v>
      </c>
      <c r="M66" s="124">
        <f t="shared" si="8"/>
        <v>0</v>
      </c>
      <c r="N66" s="123">
        <f t="shared" si="9"/>
        <v>0</v>
      </c>
      <c r="O66" s="124">
        <f t="shared" si="9"/>
        <v>0</v>
      </c>
      <c r="P66" s="123">
        <f t="shared" si="10"/>
        <v>0</v>
      </c>
      <c r="Q66" s="124">
        <f t="shared" si="10"/>
        <v>0</v>
      </c>
      <c r="R66" s="123">
        <f t="shared" si="11"/>
        <v>0</v>
      </c>
      <c r="S66" s="124">
        <f t="shared" si="11"/>
        <v>0</v>
      </c>
    </row>
    <row r="67" spans="2:19" ht="20.5" x14ac:dyDescent="0.25">
      <c r="B67" s="68">
        <v>9257028</v>
      </c>
      <c r="C67" s="166" t="s">
        <v>70</v>
      </c>
      <c r="D67" s="121">
        <v>4</v>
      </c>
      <c r="E67" s="597">
        <f t="shared" si="5"/>
        <v>7</v>
      </c>
      <c r="F67" s="123">
        <f t="shared" si="5"/>
        <v>-5</v>
      </c>
      <c r="G67" s="124">
        <f t="shared" si="5"/>
        <v>-4.3652306519252768E-2</v>
      </c>
      <c r="H67" s="123">
        <f t="shared" si="6"/>
        <v>-7</v>
      </c>
      <c r="I67" s="124">
        <f t="shared" si="6"/>
        <v>-7.9171432202312875E-2</v>
      </c>
      <c r="J67" s="123">
        <f t="shared" si="7"/>
        <v>-1</v>
      </c>
      <c r="K67" s="124">
        <f t="shared" si="7"/>
        <v>-1.1310204600330415E-2</v>
      </c>
      <c r="L67" s="123">
        <f t="shared" si="8"/>
        <v>11</v>
      </c>
      <c r="M67" s="124">
        <f t="shared" si="8"/>
        <v>8.0823484559664524E-2</v>
      </c>
      <c r="N67" s="123">
        <f t="shared" si="9"/>
        <v>-3</v>
      </c>
      <c r="O67" s="124">
        <f t="shared" si="9"/>
        <v>-2.814843055026052E-2</v>
      </c>
      <c r="P67" s="123">
        <f t="shared" si="10"/>
        <v>10</v>
      </c>
      <c r="Q67" s="124">
        <f t="shared" si="10"/>
        <v>7.3961113229126949E-2</v>
      </c>
      <c r="R67" s="123">
        <f t="shared" si="11"/>
        <v>2</v>
      </c>
      <c r="S67" s="124">
        <f t="shared" si="11"/>
        <v>7.4977760833651041E-3</v>
      </c>
    </row>
    <row r="68" spans="2:19" ht="20.5" x14ac:dyDescent="0.25">
      <c r="B68" s="68">
        <v>9257021</v>
      </c>
      <c r="C68" s="166" t="s">
        <v>71</v>
      </c>
      <c r="D68" s="121" t="s">
        <v>453</v>
      </c>
      <c r="E68" s="597">
        <f t="shared" si="5"/>
        <v>4</v>
      </c>
      <c r="F68" s="123">
        <f t="shared" si="5"/>
        <v>1</v>
      </c>
      <c r="G68" s="124">
        <f t="shared" si="5"/>
        <v>8.789722785665921E-4</v>
      </c>
      <c r="H68" s="123">
        <f t="shared" si="6"/>
        <v>2</v>
      </c>
      <c r="I68" s="124">
        <f t="shared" si="6"/>
        <v>-5.4090601757950107E-4</v>
      </c>
      <c r="J68" s="123">
        <f t="shared" si="7"/>
        <v>5</v>
      </c>
      <c r="K68" s="124">
        <f t="shared" si="7"/>
        <v>2.6301555104800547E-2</v>
      </c>
      <c r="L68" s="123">
        <f t="shared" si="8"/>
        <v>0</v>
      </c>
      <c r="M68" s="124">
        <f t="shared" si="8"/>
        <v>-1.6227180527383367E-3</v>
      </c>
      <c r="N68" s="123">
        <f t="shared" si="9"/>
        <v>-1</v>
      </c>
      <c r="O68" s="124">
        <f t="shared" si="9"/>
        <v>-6.4232589587559161E-3</v>
      </c>
      <c r="P68" s="123">
        <f t="shared" si="10"/>
        <v>-3</v>
      </c>
      <c r="Q68" s="124">
        <f t="shared" si="10"/>
        <v>-1.8323191345503718E-2</v>
      </c>
      <c r="R68" s="123">
        <f t="shared" si="11"/>
        <v>0</v>
      </c>
      <c r="S68" s="124">
        <f t="shared" si="11"/>
        <v>-2.7045300878972278E-4</v>
      </c>
    </row>
    <row r="69" spans="2:19" ht="30.5" x14ac:dyDescent="0.25">
      <c r="B69" s="68">
        <v>9257015</v>
      </c>
      <c r="C69" s="166" t="s">
        <v>72</v>
      </c>
      <c r="D69" s="121" t="s">
        <v>454</v>
      </c>
      <c r="E69" s="597">
        <f t="shared" si="5"/>
        <v>6</v>
      </c>
      <c r="F69" s="123">
        <f t="shared" si="5"/>
        <v>-10</v>
      </c>
      <c r="G69" s="124">
        <f t="shared" si="5"/>
        <v>-5.008391821788219E-2</v>
      </c>
      <c r="H69" s="123">
        <f t="shared" si="6"/>
        <v>9</v>
      </c>
      <c r="I69" s="124">
        <f t="shared" si="6"/>
        <v>2.7921879768080582E-2</v>
      </c>
      <c r="J69" s="123">
        <f t="shared" si="7"/>
        <v>-2</v>
      </c>
      <c r="K69" s="124">
        <f t="shared" si="7"/>
        <v>-9.1928593225511137E-3</v>
      </c>
      <c r="L69" s="123">
        <f t="shared" si="8"/>
        <v>2</v>
      </c>
      <c r="M69" s="124">
        <f t="shared" si="8"/>
        <v>6.3320109856576101E-3</v>
      </c>
      <c r="N69" s="123">
        <f t="shared" si="9"/>
        <v>3</v>
      </c>
      <c r="O69" s="124">
        <f t="shared" si="9"/>
        <v>1.235886481537992E-2</v>
      </c>
      <c r="P69" s="123">
        <f t="shared" si="10"/>
        <v>2</v>
      </c>
      <c r="Q69" s="124">
        <f t="shared" si="10"/>
        <v>4.50106805004577E-3</v>
      </c>
      <c r="R69" s="123">
        <f t="shared" si="11"/>
        <v>2</v>
      </c>
      <c r="S69" s="124">
        <f t="shared" si="11"/>
        <v>8.1629539212694537E-3</v>
      </c>
    </row>
    <row r="70" spans="2:19" ht="20.5" x14ac:dyDescent="0.25">
      <c r="B70" s="68">
        <v>9257016</v>
      </c>
      <c r="C70" s="166" t="s">
        <v>73</v>
      </c>
      <c r="D70" s="121" t="s">
        <v>454</v>
      </c>
      <c r="E70" s="597">
        <f t="shared" si="5"/>
        <v>-4</v>
      </c>
      <c r="F70" s="123">
        <f t="shared" si="5"/>
        <v>0</v>
      </c>
      <c r="G70" s="124">
        <f t="shared" si="5"/>
        <v>3.0448717948717979E-3</v>
      </c>
      <c r="H70" s="123">
        <f t="shared" si="6"/>
        <v>1</v>
      </c>
      <c r="I70" s="124">
        <f t="shared" si="6"/>
        <v>1.1858974358974372E-2</v>
      </c>
      <c r="J70" s="123">
        <f t="shared" si="7"/>
        <v>0</v>
      </c>
      <c r="K70" s="124">
        <f t="shared" si="7"/>
        <v>3.2051282051281937E-4</v>
      </c>
      <c r="L70" s="123">
        <f t="shared" si="8"/>
        <v>-2</v>
      </c>
      <c r="M70" s="124">
        <f t="shared" si="8"/>
        <v>-6.5705128205128249E-3</v>
      </c>
      <c r="N70" s="123">
        <f t="shared" si="9"/>
        <v>-2</v>
      </c>
      <c r="O70" s="124">
        <f t="shared" si="9"/>
        <v>-8.1730769230769218E-3</v>
      </c>
      <c r="P70" s="123">
        <f t="shared" si="10"/>
        <v>-1</v>
      </c>
      <c r="Q70" s="124">
        <f t="shared" si="10"/>
        <v>-5.9294871794871792E-3</v>
      </c>
      <c r="R70" s="123">
        <f t="shared" si="11"/>
        <v>0</v>
      </c>
      <c r="S70" s="124">
        <f t="shared" si="11"/>
        <v>5.4487179487179571E-3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FCEF-FB99-4BD8-99AC-00D535E2B822}">
  <sheetPr>
    <tabColor theme="4" tint="0.39997558519241921"/>
  </sheetPr>
  <dimension ref="B2:S112"/>
  <sheetViews>
    <sheetView workbookViewId="0">
      <selection sqref="A1:XFD1048576"/>
    </sheetView>
  </sheetViews>
  <sheetFormatPr defaultColWidth="8.7265625" defaultRowHeight="12.5" x14ac:dyDescent="0.25"/>
  <cols>
    <col min="1" max="1" width="8.7265625" style="2"/>
    <col min="2" max="2" width="7.81640625" style="2" bestFit="1" customWidth="1"/>
    <col min="3" max="3" width="24.453125" style="2" bestFit="1" customWidth="1"/>
    <col min="4" max="4" width="10.81640625" style="2" bestFit="1" customWidth="1"/>
    <col min="5" max="5" width="15.54296875" style="2" bestFit="1" customWidth="1"/>
    <col min="6" max="6" width="10.81640625" style="2" bestFit="1" customWidth="1"/>
    <col min="7" max="7" width="8.7265625" style="2"/>
    <col min="8" max="8" width="13.54296875" style="2" bestFit="1" customWidth="1"/>
    <col min="9" max="9" width="16.1796875" style="2" bestFit="1" customWidth="1"/>
    <col min="10" max="10" width="12.453125" style="2" bestFit="1" customWidth="1"/>
    <col min="11" max="11" width="8.7265625" style="2"/>
    <col min="12" max="12" width="18.26953125" style="2" bestFit="1" customWidth="1"/>
    <col min="13" max="16384" width="8.7265625" style="2"/>
  </cols>
  <sheetData>
    <row r="2" spans="2:19" ht="13" x14ac:dyDescent="0.3">
      <c r="B2" s="165" t="s">
        <v>774</v>
      </c>
    </row>
    <row r="4" spans="2:19" ht="26" x14ac:dyDescent="0.35">
      <c r="B4" s="638" t="s">
        <v>48</v>
      </c>
      <c r="C4" s="639" t="s">
        <v>49</v>
      </c>
      <c r="D4" s="5" t="s">
        <v>745</v>
      </c>
      <c r="E4" s="69" t="s">
        <v>746</v>
      </c>
      <c r="F4" s="69" t="s">
        <v>289</v>
      </c>
      <c r="H4" s="343" t="s">
        <v>49</v>
      </c>
      <c r="I4" s="343" t="s">
        <v>747</v>
      </c>
      <c r="J4" s="343" t="s">
        <v>775</v>
      </c>
      <c r="K4" s="343" t="s">
        <v>749</v>
      </c>
      <c r="L4" s="343" t="s">
        <v>750</v>
      </c>
      <c r="M4" s="343"/>
      <c r="N4" s="343" t="s">
        <v>751</v>
      </c>
      <c r="O4" s="343" t="s">
        <v>101</v>
      </c>
      <c r="P4" s="343" t="s">
        <v>752</v>
      </c>
      <c r="Q4" s="344" t="s">
        <v>101</v>
      </c>
      <c r="R4" s="344" t="s">
        <v>88</v>
      </c>
      <c r="S4" s="343" t="s">
        <v>753</v>
      </c>
    </row>
    <row r="5" spans="2:19" x14ac:dyDescent="0.25">
      <c r="B5" s="68">
        <v>9257010</v>
      </c>
      <c r="C5" s="68" t="s">
        <v>60</v>
      </c>
      <c r="D5" s="8">
        <f>VLOOKUP('2324 OLEA Placements'!B5,'2324 Funding Detail'!$A$4:$Y$20,25,FALSE)</f>
        <v>6965.4929058844027</v>
      </c>
      <c r="E5" s="5">
        <f>S5</f>
        <v>3</v>
      </c>
      <c r="F5" s="8">
        <f>D5*E5</f>
        <v>20896.478717653208</v>
      </c>
      <c r="H5" s="5" t="s">
        <v>776</v>
      </c>
      <c r="I5" s="5" t="s">
        <v>755</v>
      </c>
      <c r="J5" s="5">
        <f>'[21]2223'!N2</f>
        <v>0</v>
      </c>
      <c r="K5" s="5">
        <v>140</v>
      </c>
      <c r="L5" s="603">
        <v>44852</v>
      </c>
      <c r="M5" s="5"/>
      <c r="N5" s="5">
        <f>SUM(O5:R5)</f>
        <v>147</v>
      </c>
      <c r="O5" s="5">
        <v>104</v>
      </c>
      <c r="P5" s="5">
        <v>25</v>
      </c>
      <c r="Q5" s="5">
        <v>18</v>
      </c>
      <c r="R5" s="5">
        <v>0</v>
      </c>
      <c r="S5" s="5">
        <v>3</v>
      </c>
    </row>
    <row r="6" spans="2:19" x14ac:dyDescent="0.25">
      <c r="B6" s="68">
        <v>9257005</v>
      </c>
      <c r="C6" s="68" t="s">
        <v>63</v>
      </c>
      <c r="D6" s="8">
        <f>VLOOKUP('2324 OLEA Placements'!B6,'2324 Funding Detail'!$A$4:$Y$20,25,FALSE)</f>
        <v>9660.2734778577433</v>
      </c>
      <c r="E6" s="5">
        <f>S35</f>
        <v>3</v>
      </c>
      <c r="F6" s="8">
        <f t="shared" ref="F6:F21" si="0">D6*E6</f>
        <v>28980.82043357323</v>
      </c>
      <c r="H6" s="5"/>
      <c r="I6" s="5"/>
      <c r="J6" s="5"/>
      <c r="K6" s="5"/>
      <c r="L6" s="603"/>
      <c r="M6" s="5"/>
      <c r="N6" s="5"/>
      <c r="O6" s="5"/>
      <c r="P6" s="5"/>
      <c r="Q6" s="5"/>
      <c r="R6" s="5"/>
      <c r="S6" s="5"/>
    </row>
    <row r="7" spans="2:19" x14ac:dyDescent="0.25">
      <c r="B7" s="68">
        <v>9257025</v>
      </c>
      <c r="C7" s="68" t="s">
        <v>64</v>
      </c>
      <c r="D7" s="8">
        <f>VLOOKUP('2324 OLEA Placements'!B7,'2324 Funding Detail'!$A$4:$Y$20,25,FALSE)</f>
        <v>6564.330898592405</v>
      </c>
      <c r="E7" s="5">
        <f>S25</f>
        <v>5</v>
      </c>
      <c r="F7" s="8">
        <f t="shared" si="0"/>
        <v>32821.654492962029</v>
      </c>
      <c r="H7" s="5" t="s">
        <v>777</v>
      </c>
      <c r="I7" s="5" t="s">
        <v>755</v>
      </c>
      <c r="J7" s="5">
        <f>'[21]2223'!N4+'[21]2223'!N5</f>
        <v>0</v>
      </c>
      <c r="K7" s="5">
        <v>211</v>
      </c>
      <c r="L7" s="603">
        <v>44852</v>
      </c>
      <c r="M7" s="5"/>
      <c r="N7" s="5">
        <f>SUM(O7:R7)</f>
        <v>212</v>
      </c>
      <c r="O7" s="5">
        <v>201</v>
      </c>
      <c r="P7" s="5">
        <v>11</v>
      </c>
      <c r="Q7" s="5">
        <v>0</v>
      </c>
      <c r="R7" s="5">
        <v>0</v>
      </c>
      <c r="S7" s="5">
        <v>15</v>
      </c>
    </row>
    <row r="8" spans="2:19" x14ac:dyDescent="0.25">
      <c r="B8" s="68">
        <v>9257024</v>
      </c>
      <c r="C8" s="68" t="s">
        <v>66</v>
      </c>
      <c r="D8" s="8">
        <f>VLOOKUP('2324 OLEA Placements'!B8,'2324 Funding Detail'!$A$4:$Y$20,25,FALSE)</f>
        <v>7256.4794364899062</v>
      </c>
      <c r="E8" s="5">
        <f>S31</f>
        <v>1</v>
      </c>
      <c r="F8" s="8">
        <f t="shared" si="0"/>
        <v>7256.4794364899062</v>
      </c>
      <c r="H8" s="5"/>
      <c r="I8" s="5"/>
      <c r="J8" s="5"/>
      <c r="K8" s="5"/>
      <c r="L8" s="5"/>
      <c r="M8" s="5"/>
      <c r="N8" s="5"/>
      <c r="O8" s="5"/>
      <c r="P8" s="5"/>
      <c r="Q8" s="5"/>
      <c r="R8" s="5"/>
      <c r="S8" s="5"/>
    </row>
    <row r="9" spans="2:19" x14ac:dyDescent="0.25">
      <c r="B9" s="68">
        <v>9257031</v>
      </c>
      <c r="C9" s="68" t="s">
        <v>84</v>
      </c>
      <c r="D9" s="8">
        <f>VLOOKUP('2324 OLEA Placements'!B9,'2324 Funding Detail'!$A$4:$Y$20,25,FALSE)</f>
        <v>12093.8310237849</v>
      </c>
      <c r="E9" s="5">
        <f>S11</f>
        <v>6</v>
      </c>
      <c r="F9" s="8">
        <f t="shared" si="0"/>
        <v>72562.9861427094</v>
      </c>
      <c r="H9" s="5" t="s">
        <v>759</v>
      </c>
      <c r="I9" s="5" t="s">
        <v>755</v>
      </c>
      <c r="J9" s="5">
        <f>'[21]2223'!N7</f>
        <v>0</v>
      </c>
      <c r="K9" s="5">
        <v>65</v>
      </c>
      <c r="L9" s="603">
        <v>44852</v>
      </c>
      <c r="M9" s="5"/>
      <c r="N9" s="5">
        <f>SUM(O9:R9)</f>
        <v>70</v>
      </c>
      <c r="O9" s="5">
        <v>65</v>
      </c>
      <c r="P9" s="5">
        <v>0</v>
      </c>
      <c r="Q9" s="5">
        <v>5</v>
      </c>
      <c r="R9" s="5">
        <v>0</v>
      </c>
      <c r="S9" s="5">
        <v>4</v>
      </c>
    </row>
    <row r="10" spans="2:19" x14ac:dyDescent="0.25">
      <c r="B10" s="68">
        <v>9257033</v>
      </c>
      <c r="C10" s="68" t="s">
        <v>74</v>
      </c>
      <c r="D10" s="8">
        <f>VLOOKUP('2324 OLEA Placements'!B10,'2324 Funding Detail'!$A$4:$Y$20,25,FALSE)</f>
        <v>4225.3080803880785</v>
      </c>
      <c r="E10" s="5">
        <f>S18</f>
        <v>4</v>
      </c>
      <c r="F10" s="8">
        <f t="shared" si="0"/>
        <v>16901.232321552314</v>
      </c>
      <c r="H10" s="5"/>
      <c r="I10" s="5"/>
      <c r="J10" s="5"/>
      <c r="K10" s="5"/>
      <c r="L10" s="5"/>
      <c r="M10" s="5"/>
      <c r="N10" s="5"/>
      <c r="O10" s="5"/>
      <c r="P10" s="5"/>
      <c r="Q10" s="5"/>
      <c r="R10" s="5"/>
      <c r="S10" s="5"/>
    </row>
    <row r="11" spans="2:19" x14ac:dyDescent="0.25">
      <c r="B11" s="68">
        <v>9257008</v>
      </c>
      <c r="C11" s="68" t="s">
        <v>67</v>
      </c>
      <c r="D11" s="8">
        <f>VLOOKUP('2324 OLEA Placements'!B11,'2324 Funding Detail'!$A$4:$Y$20,25,FALSE)</f>
        <v>4763.7138613861389</v>
      </c>
      <c r="E11" s="5">
        <f>S14</f>
        <v>0</v>
      </c>
      <c r="F11" s="8">
        <f t="shared" si="0"/>
        <v>0</v>
      </c>
      <c r="H11" s="5" t="s">
        <v>154</v>
      </c>
      <c r="I11" s="5" t="s">
        <v>755</v>
      </c>
      <c r="J11" s="5">
        <f>'[21]2223'!N9</f>
        <v>0</v>
      </c>
      <c r="K11" s="5">
        <v>80</v>
      </c>
      <c r="L11" s="603">
        <v>44853</v>
      </c>
      <c r="M11" s="5"/>
      <c r="N11" s="5">
        <f t="shared" ref="N11:N14" si="1">SUM(O11:R11)</f>
        <v>80</v>
      </c>
      <c r="O11" s="5">
        <v>80</v>
      </c>
      <c r="P11" s="5">
        <v>0</v>
      </c>
      <c r="Q11" s="5">
        <v>0</v>
      </c>
      <c r="R11" s="5">
        <v>0</v>
      </c>
      <c r="S11" s="5">
        <v>6</v>
      </c>
    </row>
    <row r="12" spans="2:19" x14ac:dyDescent="0.25">
      <c r="B12" s="68">
        <v>9257034</v>
      </c>
      <c r="C12" s="68" t="s">
        <v>75</v>
      </c>
      <c r="D12" s="8">
        <f>VLOOKUP('2324 OLEA Placements'!B12,'2324 Funding Detail'!$A$4:$Y$20,25,FALSE)</f>
        <v>4069.2863844834901</v>
      </c>
      <c r="E12" s="5">
        <f>S16</f>
        <v>15</v>
      </c>
      <c r="F12" s="8">
        <f t="shared" si="0"/>
        <v>61039.295767252348</v>
      </c>
      <c r="H12" s="5" t="s">
        <v>760</v>
      </c>
      <c r="I12" s="604" t="s">
        <v>755</v>
      </c>
      <c r="J12" s="5">
        <f>'[21]2223'!N10</f>
        <v>0</v>
      </c>
      <c r="K12" s="5">
        <v>110</v>
      </c>
      <c r="L12" s="603">
        <v>44853</v>
      </c>
      <c r="M12" s="5"/>
      <c r="N12" s="5">
        <f t="shared" si="1"/>
        <v>115</v>
      </c>
      <c r="O12" s="5">
        <v>110</v>
      </c>
      <c r="P12" s="5">
        <v>0</v>
      </c>
      <c r="Q12" s="5">
        <v>5</v>
      </c>
      <c r="R12" s="5">
        <v>0</v>
      </c>
      <c r="S12" s="5">
        <v>8</v>
      </c>
    </row>
    <row r="13" spans="2:19" x14ac:dyDescent="0.25">
      <c r="B13" s="68">
        <v>9257002</v>
      </c>
      <c r="C13" s="68" t="s">
        <v>68</v>
      </c>
      <c r="D13" s="8">
        <f>VLOOKUP('2324 OLEA Placements'!B13,'2324 Funding Detail'!$A$4:$Y$20,25,FALSE)</f>
        <v>4339.2712388848086</v>
      </c>
      <c r="E13" s="5">
        <f>S33</f>
        <v>12</v>
      </c>
      <c r="F13" s="8">
        <f t="shared" si="0"/>
        <v>52071.254866617703</v>
      </c>
      <c r="H13" s="5"/>
      <c r="I13" s="5"/>
      <c r="J13" s="5"/>
      <c r="K13" s="5"/>
      <c r="L13" s="5"/>
      <c r="M13" s="5"/>
      <c r="N13" s="5"/>
      <c r="O13" s="5"/>
      <c r="P13" s="5"/>
      <c r="Q13" s="5"/>
      <c r="R13" s="5"/>
      <c r="S13" s="5"/>
    </row>
    <row r="14" spans="2:19" x14ac:dyDescent="0.25">
      <c r="B14" s="68">
        <v>9257009</v>
      </c>
      <c r="C14" s="68" t="s">
        <v>334</v>
      </c>
      <c r="D14" s="8">
        <f>VLOOKUP('2324 OLEA Placements'!B14,'2324 Funding Detail'!$A$4:$Y$20,25,FALSE)</f>
        <v>4721.9836548224721</v>
      </c>
      <c r="E14" s="5">
        <f>S7</f>
        <v>15</v>
      </c>
      <c r="F14" s="8">
        <f t="shared" si="0"/>
        <v>70829.754822337083</v>
      </c>
      <c r="H14" s="5" t="s">
        <v>761</v>
      </c>
      <c r="I14" s="5" t="s">
        <v>755</v>
      </c>
      <c r="J14" s="5">
        <f>'[21]2223'!N12</f>
        <v>0</v>
      </c>
      <c r="K14" s="5">
        <v>103</v>
      </c>
      <c r="L14" s="603">
        <v>44853</v>
      </c>
      <c r="M14" s="5"/>
      <c r="N14" s="5">
        <f t="shared" si="1"/>
        <v>101</v>
      </c>
      <c r="O14" s="5">
        <v>101</v>
      </c>
      <c r="P14" s="5">
        <v>0</v>
      </c>
      <c r="Q14" s="5">
        <v>0</v>
      </c>
      <c r="R14" s="5">
        <v>0</v>
      </c>
      <c r="S14" s="5">
        <v>0</v>
      </c>
    </row>
    <row r="15" spans="2:19" x14ac:dyDescent="0.25">
      <c r="B15" s="68">
        <v>9257029</v>
      </c>
      <c r="C15" s="68" t="s">
        <v>278</v>
      </c>
      <c r="D15" s="8">
        <f>VLOOKUP('2324 OLEA Placements'!B15,'2324 Funding Detail'!$A$4:$Y$20,25,FALSE)</f>
        <v>11864.677848101266</v>
      </c>
      <c r="E15" s="5">
        <f>S29</f>
        <v>5</v>
      </c>
      <c r="F15" s="8">
        <f t="shared" si="0"/>
        <v>59323.389240506331</v>
      </c>
      <c r="H15" s="5"/>
      <c r="I15" s="5"/>
      <c r="J15" s="5"/>
      <c r="K15" s="5"/>
      <c r="L15" s="5"/>
      <c r="M15" s="5"/>
      <c r="N15" s="5"/>
      <c r="O15" s="5"/>
      <c r="P15" s="5"/>
      <c r="Q15" s="5"/>
      <c r="R15" s="5"/>
      <c r="S15" s="5"/>
    </row>
    <row r="16" spans="2:19" ht="14.5" x14ac:dyDescent="0.35">
      <c r="B16" s="68">
        <v>9257032</v>
      </c>
      <c r="C16" s="68" t="s">
        <v>380</v>
      </c>
      <c r="D16" s="8">
        <f>VLOOKUP('2324 OLEA Placements'!B16,'2324 Funding Detail'!$A$4:$Y$20,25,FALSE)</f>
        <v>10164.233962264148</v>
      </c>
      <c r="E16" s="5">
        <f>S12</f>
        <v>8</v>
      </c>
      <c r="F16" s="8">
        <f t="shared" si="0"/>
        <v>81313.871698113187</v>
      </c>
      <c r="H16" s="5" t="s">
        <v>762</v>
      </c>
      <c r="I16" s="5" t="s">
        <v>755</v>
      </c>
      <c r="J16" s="605">
        <f>'[21]2223'!N14</f>
        <v>0</v>
      </c>
      <c r="K16" s="5">
        <v>132</v>
      </c>
      <c r="L16" s="603">
        <v>44853</v>
      </c>
      <c r="M16" s="5"/>
      <c r="N16" s="5">
        <f>SUM(O16:R16)</f>
        <v>132</v>
      </c>
      <c r="O16" s="605">
        <v>106</v>
      </c>
      <c r="P16" s="605">
        <v>26</v>
      </c>
      <c r="Q16" s="605">
        <v>0</v>
      </c>
      <c r="R16" s="605">
        <v>0</v>
      </c>
      <c r="S16" s="605">
        <v>15</v>
      </c>
    </row>
    <row r="17" spans="2:19" ht="14.5" x14ac:dyDescent="0.35">
      <c r="B17" s="68">
        <v>9257030</v>
      </c>
      <c r="C17" s="68" t="s">
        <v>383</v>
      </c>
      <c r="D17" s="8">
        <f>VLOOKUP('2324 OLEA Placements'!B17,'2324 Funding Detail'!$A$4:$Y$20,25,FALSE)</f>
        <v>12756.602891938059</v>
      </c>
      <c r="E17" s="5">
        <f>S9</f>
        <v>4</v>
      </c>
      <c r="F17" s="8">
        <f t="shared" si="0"/>
        <v>51026.411567752235</v>
      </c>
      <c r="H17" s="5"/>
      <c r="I17" s="5"/>
      <c r="J17" s="605"/>
      <c r="K17" s="5"/>
      <c r="L17" s="603"/>
      <c r="M17" s="5"/>
      <c r="N17" s="605"/>
      <c r="O17" s="605"/>
      <c r="P17" s="605"/>
      <c r="Q17" s="605"/>
      <c r="R17" s="605"/>
      <c r="S17" s="605"/>
    </row>
    <row r="18" spans="2:19" ht="14.5" x14ac:dyDescent="0.35">
      <c r="B18" s="68">
        <v>9257028</v>
      </c>
      <c r="C18" s="68" t="s">
        <v>70</v>
      </c>
      <c r="D18" s="8">
        <f>VLOOKUP('2324 OLEA Placements'!B18,'2324 Funding Detail'!$A$4:$Y$20,25,FALSE)</f>
        <v>7544.3955587957134</v>
      </c>
      <c r="E18" s="5">
        <f>S27</f>
        <v>11</v>
      </c>
      <c r="F18" s="8">
        <f t="shared" si="0"/>
        <v>82988.351146752844</v>
      </c>
      <c r="H18" s="5" t="s">
        <v>763</v>
      </c>
      <c r="I18" s="5" t="s">
        <v>755</v>
      </c>
      <c r="J18" s="605">
        <f>'[21]2223'!N16</f>
        <v>0</v>
      </c>
      <c r="K18" s="5">
        <v>115</v>
      </c>
      <c r="L18" s="603">
        <v>44853</v>
      </c>
      <c r="M18" s="5"/>
      <c r="N18" s="5">
        <f>SUM(O18:R18)</f>
        <v>115</v>
      </c>
      <c r="O18" s="605">
        <v>115</v>
      </c>
      <c r="P18" s="605">
        <v>0</v>
      </c>
      <c r="Q18" s="605">
        <v>0</v>
      </c>
      <c r="R18" s="605">
        <v>0</v>
      </c>
      <c r="S18" s="605">
        <v>4</v>
      </c>
    </row>
    <row r="19" spans="2:19" x14ac:dyDescent="0.25">
      <c r="B19" s="68">
        <v>9257021</v>
      </c>
      <c r="C19" s="68" t="s">
        <v>71</v>
      </c>
      <c r="D19" s="8">
        <f>VLOOKUP('2324 OLEA Placements'!B19,'2324 Funding Detail'!$A$4:$Y$20,25,FALSE)</f>
        <v>3735.8078339875374</v>
      </c>
      <c r="E19" s="5">
        <f>S24</f>
        <v>9</v>
      </c>
      <c r="F19" s="8">
        <f t="shared" si="0"/>
        <v>33622.270505887835</v>
      </c>
      <c r="H19" s="5"/>
      <c r="I19" s="5"/>
      <c r="J19" s="5"/>
      <c r="K19" s="5"/>
      <c r="L19" s="5"/>
      <c r="M19" s="5"/>
      <c r="N19" s="5"/>
      <c r="O19" s="5"/>
      <c r="P19" s="5"/>
      <c r="Q19" s="5"/>
      <c r="R19" s="5"/>
      <c r="S19" s="5"/>
    </row>
    <row r="20" spans="2:19" ht="14.5" x14ac:dyDescent="0.35">
      <c r="B20" s="68">
        <v>9257015</v>
      </c>
      <c r="C20" s="68" t="s">
        <v>72</v>
      </c>
      <c r="D20" s="8">
        <f>VLOOKUP('2324 OLEA Placements'!B20,'2324 Funding Detail'!$A$4:$Y$20,25,FALSE)</f>
        <v>3889.1362491974942</v>
      </c>
      <c r="E20" s="5">
        <f>S20</f>
        <v>1</v>
      </c>
      <c r="F20" s="8">
        <f t="shared" si="0"/>
        <v>3889.1362491974942</v>
      </c>
      <c r="H20" s="5" t="s">
        <v>764</v>
      </c>
      <c r="I20" s="5" t="s">
        <v>755</v>
      </c>
      <c r="J20" s="5">
        <f>'[21]2223'!N18</f>
        <v>0</v>
      </c>
      <c r="K20" s="5">
        <v>227</v>
      </c>
      <c r="L20" s="603">
        <v>44853</v>
      </c>
      <c r="M20" s="5"/>
      <c r="N20" s="5">
        <f>SUM(O20:R20)</f>
        <v>240</v>
      </c>
      <c r="O20" s="605">
        <v>204</v>
      </c>
      <c r="P20" s="605">
        <v>23</v>
      </c>
      <c r="Q20" s="605">
        <v>13</v>
      </c>
      <c r="R20" s="605">
        <v>0</v>
      </c>
      <c r="S20" s="605">
        <v>1</v>
      </c>
    </row>
    <row r="21" spans="2:19" ht="14.5" x14ac:dyDescent="0.35">
      <c r="B21" s="68">
        <v>9257016</v>
      </c>
      <c r="C21" s="68" t="s">
        <v>73</v>
      </c>
      <c r="D21" s="8">
        <f>VLOOKUP('2324 OLEA Placements'!B21,'2324 Funding Detail'!$A$4:$Y$20,25,FALSE)</f>
        <v>9700.1248864783083</v>
      </c>
      <c r="E21" s="5">
        <f>S22</f>
        <v>5</v>
      </c>
      <c r="F21" s="8">
        <f t="shared" si="0"/>
        <v>48500.624432391545</v>
      </c>
      <c r="H21" s="5"/>
      <c r="I21" s="5"/>
      <c r="J21" s="5"/>
      <c r="K21" s="5"/>
      <c r="L21" s="603"/>
      <c r="M21" s="5"/>
      <c r="N21" s="5"/>
      <c r="O21" s="605"/>
      <c r="P21" s="605"/>
      <c r="Q21" s="605"/>
      <c r="R21" s="605"/>
      <c r="S21" s="605"/>
    </row>
    <row r="22" spans="2:19" x14ac:dyDescent="0.25">
      <c r="H22" s="5" t="s">
        <v>765</v>
      </c>
      <c r="I22" s="5" t="s">
        <v>755</v>
      </c>
      <c r="J22" s="5">
        <f>'[21]2223'!N20</f>
        <v>0</v>
      </c>
      <c r="K22" s="5">
        <v>165</v>
      </c>
      <c r="L22" s="603">
        <v>44853</v>
      </c>
      <c r="M22" s="5"/>
      <c r="N22" s="5">
        <f>SUM(O22:R22)</f>
        <v>165</v>
      </c>
      <c r="O22" s="5">
        <v>114</v>
      </c>
      <c r="P22" s="5">
        <v>51</v>
      </c>
      <c r="Q22" s="5">
        <v>0</v>
      </c>
      <c r="R22" s="5">
        <v>0</v>
      </c>
      <c r="S22" s="5">
        <v>5</v>
      </c>
    </row>
    <row r="23" spans="2:19" ht="13" x14ac:dyDescent="0.3">
      <c r="E23" s="3">
        <f>SUM(E5:E22)</f>
        <v>107</v>
      </c>
      <c r="F23" s="24">
        <f>SUM(F5:F22)</f>
        <v>724024.01184174861</v>
      </c>
      <c r="H23" s="5"/>
      <c r="I23" s="5"/>
      <c r="J23" s="5"/>
      <c r="K23" s="5"/>
      <c r="L23" s="5"/>
      <c r="M23" s="5"/>
      <c r="N23" s="5"/>
      <c r="O23" s="5"/>
      <c r="P23" s="5"/>
      <c r="Q23" s="5"/>
      <c r="R23" s="5"/>
      <c r="S23" s="5"/>
    </row>
    <row r="24" spans="2:19" x14ac:dyDescent="0.25">
      <c r="H24" s="5" t="s">
        <v>766</v>
      </c>
      <c r="I24" s="5" t="s">
        <v>755</v>
      </c>
      <c r="J24" s="5">
        <f>'[21]2223'!N22</f>
        <v>0</v>
      </c>
      <c r="K24" s="5">
        <v>178</v>
      </c>
      <c r="L24" s="603">
        <v>44853</v>
      </c>
      <c r="M24" s="5"/>
      <c r="N24" s="5">
        <f t="shared" ref="N24:N25" si="2">SUM(O24:R24)</f>
        <v>179</v>
      </c>
      <c r="O24" s="5">
        <v>179</v>
      </c>
      <c r="P24" s="5">
        <v>0</v>
      </c>
      <c r="Q24" s="5">
        <v>0</v>
      </c>
      <c r="R24" s="5">
        <v>0</v>
      </c>
      <c r="S24" s="5">
        <v>9</v>
      </c>
    </row>
    <row r="25" spans="2:19" x14ac:dyDescent="0.25">
      <c r="H25" s="5" t="s">
        <v>767</v>
      </c>
      <c r="I25" s="5" t="s">
        <v>755</v>
      </c>
      <c r="J25" s="5">
        <f>'[21]2223'!N23</f>
        <v>0</v>
      </c>
      <c r="K25" s="5">
        <v>101</v>
      </c>
      <c r="L25" s="603">
        <v>44853</v>
      </c>
      <c r="M25" s="5"/>
      <c r="N25" s="5">
        <f t="shared" si="2"/>
        <v>101</v>
      </c>
      <c r="O25" s="5">
        <v>71</v>
      </c>
      <c r="P25" s="5">
        <v>24</v>
      </c>
      <c r="Q25" s="5">
        <v>6</v>
      </c>
      <c r="R25" s="5">
        <v>0</v>
      </c>
      <c r="S25" s="5">
        <v>5</v>
      </c>
    </row>
    <row r="26" spans="2:19" x14ac:dyDescent="0.25">
      <c r="H26" s="5"/>
      <c r="I26" s="5"/>
      <c r="J26" s="5"/>
      <c r="K26" s="5"/>
      <c r="L26" s="5"/>
      <c r="M26" s="5"/>
      <c r="N26" s="5"/>
      <c r="O26" s="5"/>
      <c r="P26" s="5"/>
      <c r="Q26" s="5"/>
      <c r="R26" s="5"/>
      <c r="S26" s="5"/>
    </row>
    <row r="27" spans="2:19" ht="14.5" x14ac:dyDescent="0.35">
      <c r="H27" s="5" t="s">
        <v>768</v>
      </c>
      <c r="I27" s="5" t="s">
        <v>755</v>
      </c>
      <c r="J27" s="605">
        <f>'[21]2223'!N25</f>
        <v>0</v>
      </c>
      <c r="K27" s="5">
        <v>148</v>
      </c>
      <c r="L27" s="603">
        <v>44853</v>
      </c>
      <c r="M27" s="5"/>
      <c r="N27" s="5">
        <f>SUM(O27:R27)</f>
        <v>141</v>
      </c>
      <c r="O27" s="606">
        <v>123</v>
      </c>
      <c r="P27" s="606">
        <v>11</v>
      </c>
      <c r="Q27" s="606">
        <v>7</v>
      </c>
      <c r="R27" s="606">
        <v>0</v>
      </c>
      <c r="S27" s="5">
        <v>11</v>
      </c>
    </row>
    <row r="28" spans="2:19" x14ac:dyDescent="0.25">
      <c r="H28" s="5"/>
      <c r="I28" s="5"/>
      <c r="J28" s="5"/>
      <c r="K28" s="5"/>
      <c r="L28" s="5"/>
      <c r="M28" s="5"/>
      <c r="N28" s="5"/>
      <c r="O28" s="5"/>
      <c r="P28" s="5"/>
      <c r="Q28" s="5"/>
      <c r="R28" s="5"/>
      <c r="S28" s="5"/>
    </row>
    <row r="29" spans="2:19" x14ac:dyDescent="0.25">
      <c r="H29" s="5" t="s">
        <v>769</v>
      </c>
      <c r="I29" s="5" t="s">
        <v>755</v>
      </c>
      <c r="J29" s="5">
        <f>'[21]2223'!N27</f>
        <v>0</v>
      </c>
      <c r="K29" s="5">
        <v>74</v>
      </c>
      <c r="L29" s="603">
        <v>44852</v>
      </c>
      <c r="M29" s="5"/>
      <c r="N29" s="5">
        <f>SUM(O29:R29)</f>
        <v>79</v>
      </c>
      <c r="O29" s="5">
        <v>79</v>
      </c>
      <c r="P29" s="5">
        <v>0</v>
      </c>
      <c r="Q29" s="5">
        <v>0</v>
      </c>
      <c r="R29" s="5">
        <v>0</v>
      </c>
      <c r="S29" s="5">
        <v>5</v>
      </c>
    </row>
    <row r="30" spans="2:19" x14ac:dyDescent="0.25">
      <c r="H30" s="5"/>
      <c r="I30" s="5"/>
      <c r="J30" s="5"/>
      <c r="K30" s="5"/>
      <c r="L30" s="5"/>
      <c r="M30" s="5"/>
      <c r="N30" s="5"/>
      <c r="O30" s="5"/>
      <c r="P30" s="5"/>
      <c r="Q30" s="5"/>
      <c r="R30" s="5"/>
      <c r="S30" s="5"/>
    </row>
    <row r="31" spans="2:19" x14ac:dyDescent="0.25">
      <c r="H31" s="5" t="s">
        <v>770</v>
      </c>
      <c r="I31" s="5" t="s">
        <v>755</v>
      </c>
      <c r="J31" s="5">
        <f>'[21]2223'!N29</f>
        <v>0</v>
      </c>
      <c r="K31" s="5">
        <v>104</v>
      </c>
      <c r="L31" s="603">
        <v>44853</v>
      </c>
      <c r="M31" s="5"/>
      <c r="N31" s="5">
        <f>SUM(O31:R31)</f>
        <v>96</v>
      </c>
      <c r="O31" s="5">
        <v>70</v>
      </c>
      <c r="P31" s="5">
        <v>16</v>
      </c>
      <c r="Q31" s="5">
        <v>10</v>
      </c>
      <c r="R31" s="5">
        <v>0</v>
      </c>
      <c r="S31" s="5">
        <v>1</v>
      </c>
    </row>
    <row r="32" spans="2:19" x14ac:dyDescent="0.25">
      <c r="H32" s="5"/>
      <c r="I32" s="5"/>
      <c r="J32" s="5"/>
      <c r="K32" s="5"/>
      <c r="L32" s="5"/>
      <c r="M32" s="5"/>
      <c r="N32" s="5"/>
      <c r="O32" s="5"/>
      <c r="P32" s="5"/>
      <c r="Q32" s="5"/>
      <c r="R32" s="5"/>
      <c r="S32" s="5"/>
    </row>
    <row r="33" spans="2:19" ht="14.5" x14ac:dyDescent="0.35">
      <c r="H33" s="5" t="s">
        <v>771</v>
      </c>
      <c r="I33" s="5" t="s">
        <v>755</v>
      </c>
      <c r="J33" s="5">
        <f>'[21]2223'!N31</f>
        <v>0</v>
      </c>
      <c r="K33" s="5">
        <v>175</v>
      </c>
      <c r="L33" s="603">
        <v>44852</v>
      </c>
      <c r="M33" s="5"/>
      <c r="N33" s="5">
        <f t="shared" ref="N33:N35" si="3">SUM(O33:R33)</f>
        <v>176</v>
      </c>
      <c r="O33" s="605">
        <v>176</v>
      </c>
      <c r="P33" s="605">
        <v>0</v>
      </c>
      <c r="Q33" s="605">
        <v>0</v>
      </c>
      <c r="R33" s="605">
        <v>0</v>
      </c>
      <c r="S33" s="605">
        <v>12</v>
      </c>
    </row>
    <row r="34" spans="2:19" ht="14.5" x14ac:dyDescent="0.35">
      <c r="H34" s="5"/>
      <c r="I34" s="5"/>
      <c r="J34" s="5"/>
      <c r="K34" s="5"/>
      <c r="L34" s="603"/>
      <c r="M34" s="5"/>
      <c r="N34" s="5"/>
      <c r="O34" s="605"/>
      <c r="P34" s="605"/>
      <c r="Q34" s="605"/>
      <c r="R34" s="605"/>
      <c r="S34" s="605"/>
    </row>
    <row r="35" spans="2:19" x14ac:dyDescent="0.25">
      <c r="H35" s="5" t="s">
        <v>772</v>
      </c>
      <c r="I35" s="5" t="s">
        <v>755</v>
      </c>
      <c r="J35" s="5">
        <f>'[21]2223'!N32</f>
        <v>0</v>
      </c>
      <c r="K35" s="5">
        <v>74</v>
      </c>
      <c r="L35" s="603">
        <v>44852</v>
      </c>
      <c r="M35" s="5"/>
      <c r="N35" s="5">
        <f t="shared" si="3"/>
        <v>74</v>
      </c>
      <c r="O35" s="5">
        <v>54</v>
      </c>
      <c r="P35" s="5">
        <v>20</v>
      </c>
      <c r="Q35" s="5">
        <v>0</v>
      </c>
      <c r="R35" s="5">
        <v>0</v>
      </c>
      <c r="S35" s="5">
        <v>3</v>
      </c>
    </row>
    <row r="36" spans="2:19" x14ac:dyDescent="0.25">
      <c r="H36" s="5"/>
      <c r="I36" s="5"/>
      <c r="J36" s="5"/>
      <c r="K36" s="5"/>
      <c r="L36" s="5"/>
      <c r="M36" s="5"/>
      <c r="N36" s="5"/>
      <c r="O36" s="5"/>
      <c r="P36" s="5"/>
      <c r="Q36" s="5"/>
      <c r="R36" s="5"/>
      <c r="S36" s="5"/>
    </row>
    <row r="37" spans="2:19" ht="14.5" x14ac:dyDescent="0.35">
      <c r="H37" s="5"/>
      <c r="I37" s="5"/>
      <c r="J37" s="343">
        <f>SUM(J5:J35)</f>
        <v>0</v>
      </c>
      <c r="K37" s="343">
        <f>SUM(K5:K35)</f>
        <v>2202</v>
      </c>
      <c r="L37" s="343"/>
      <c r="M37" s="343"/>
      <c r="N37" s="343">
        <f t="shared" ref="N37:S37" si="4">SUM(N5:N35)</f>
        <v>2223</v>
      </c>
      <c r="O37" s="343">
        <f t="shared" si="4"/>
        <v>1952</v>
      </c>
      <c r="P37" s="343">
        <f t="shared" si="4"/>
        <v>207</v>
      </c>
      <c r="Q37" s="343">
        <f t="shared" si="4"/>
        <v>64</v>
      </c>
      <c r="R37" s="343">
        <f t="shared" si="4"/>
        <v>0</v>
      </c>
      <c r="S37" s="343">
        <f t="shared" si="4"/>
        <v>107</v>
      </c>
    </row>
    <row r="39" spans="2:19" ht="13" x14ac:dyDescent="0.3">
      <c r="B39" s="165" t="s">
        <v>778</v>
      </c>
    </row>
    <row r="41" spans="2:19" ht="25" x14ac:dyDescent="0.25">
      <c r="B41" s="638" t="s">
        <v>48</v>
      </c>
      <c r="C41" s="639" t="s">
        <v>49</v>
      </c>
      <c r="D41" s="5" t="s">
        <v>745</v>
      </c>
      <c r="E41" s="69" t="s">
        <v>746</v>
      </c>
      <c r="F41" s="69" t="s">
        <v>289</v>
      </c>
    </row>
    <row r="42" spans="2:19" ht="14.5" x14ac:dyDescent="0.35">
      <c r="B42" s="68">
        <v>9257010</v>
      </c>
      <c r="C42" s="68" t="s">
        <v>60</v>
      </c>
      <c r="D42" s="8">
        <f>VLOOKUP('2324 OLEA Placements'!B42,'2223 Funding Detail'!$A$4:$Y$20,25,FALSE)</f>
        <v>7856.5962174152955</v>
      </c>
      <c r="E42" s="5">
        <f>S44</f>
        <v>3</v>
      </c>
      <c r="F42" s="8">
        <f>D42*E42</f>
        <v>23569.788652245887</v>
      </c>
      <c r="H42" s="343" t="s">
        <v>49</v>
      </c>
      <c r="I42" s="343" t="s">
        <v>747</v>
      </c>
      <c r="J42" s="343" t="s">
        <v>775</v>
      </c>
      <c r="K42" s="343" t="s">
        <v>749</v>
      </c>
      <c r="L42" s="343" t="s">
        <v>750</v>
      </c>
      <c r="M42" s="343"/>
      <c r="N42" s="343" t="s">
        <v>751</v>
      </c>
      <c r="O42" s="343" t="s">
        <v>101</v>
      </c>
      <c r="P42" s="343" t="s">
        <v>752</v>
      </c>
      <c r="Q42" s="344" t="s">
        <v>101</v>
      </c>
      <c r="R42" s="344" t="s">
        <v>88</v>
      </c>
      <c r="S42" s="343" t="s">
        <v>753</v>
      </c>
    </row>
    <row r="43" spans="2:19" x14ac:dyDescent="0.25">
      <c r="B43" s="68">
        <v>9257005</v>
      </c>
      <c r="C43" s="68" t="s">
        <v>63</v>
      </c>
      <c r="D43" s="8">
        <f>VLOOKUP('2324 OLEA Placements'!B43,'2223 Funding Detail'!$A$4:$Y$20,25,FALSE)</f>
        <v>8836.7020194005017</v>
      </c>
      <c r="E43" s="5">
        <f>S74</f>
        <v>4</v>
      </c>
      <c r="F43" s="8">
        <f t="shared" ref="F43:F57" si="5">D43*E43</f>
        <v>35346.808077602007</v>
      </c>
      <c r="H43" s="5"/>
      <c r="I43" s="5"/>
      <c r="J43" s="5"/>
      <c r="K43" s="5"/>
      <c r="L43" s="5"/>
      <c r="M43" s="5"/>
      <c r="N43" s="5"/>
      <c r="O43" s="5"/>
      <c r="P43" s="5"/>
      <c r="Q43" s="5"/>
      <c r="R43" s="5"/>
      <c r="S43" s="5"/>
    </row>
    <row r="44" spans="2:19" x14ac:dyDescent="0.25">
      <c r="B44" s="68">
        <v>9257025</v>
      </c>
      <c r="C44" s="68" t="s">
        <v>64</v>
      </c>
      <c r="D44" s="8">
        <f>VLOOKUP('2324 OLEA Placements'!B44,'2223 Funding Detail'!$A$4:$Y$20,25,FALSE)</f>
        <v>7300.6122189089074</v>
      </c>
      <c r="E44" s="5">
        <f>S65</f>
        <v>3</v>
      </c>
      <c r="F44" s="8">
        <f t="shared" si="5"/>
        <v>21901.836656726722</v>
      </c>
      <c r="H44" s="5" t="s">
        <v>776</v>
      </c>
      <c r="I44" s="5" t="s">
        <v>755</v>
      </c>
      <c r="J44" s="5">
        <v>100</v>
      </c>
      <c r="K44" s="5">
        <v>126</v>
      </c>
      <c r="L44" s="603">
        <v>44489</v>
      </c>
      <c r="M44" s="5"/>
      <c r="N44" s="5">
        <v>126</v>
      </c>
      <c r="O44" s="5">
        <v>89</v>
      </c>
      <c r="P44" s="5">
        <v>12</v>
      </c>
      <c r="Q44" s="5">
        <v>25</v>
      </c>
      <c r="R44" s="5">
        <v>0</v>
      </c>
      <c r="S44" s="5">
        <v>3</v>
      </c>
    </row>
    <row r="45" spans="2:19" x14ac:dyDescent="0.25">
      <c r="B45" s="68">
        <v>9257024</v>
      </c>
      <c r="C45" s="68" t="s">
        <v>66</v>
      </c>
      <c r="D45" s="8">
        <f>VLOOKUP('2324 OLEA Placements'!B45,'2223 Funding Detail'!$A$4:$Y$20,25,FALSE)</f>
        <v>7471.3301229040881</v>
      </c>
      <c r="E45" s="5">
        <f>S71</f>
        <v>1</v>
      </c>
      <c r="F45" s="8">
        <f t="shared" si="5"/>
        <v>7471.3301229040881</v>
      </c>
      <c r="H45" s="5"/>
      <c r="I45" s="5"/>
      <c r="J45" s="5"/>
      <c r="K45" s="5"/>
      <c r="L45" s="603"/>
      <c r="M45" s="5"/>
      <c r="N45" s="5"/>
      <c r="O45" s="5"/>
      <c r="P45" s="5"/>
      <c r="Q45" s="5"/>
      <c r="R45" s="5"/>
      <c r="S45" s="5"/>
    </row>
    <row r="46" spans="2:19" x14ac:dyDescent="0.25">
      <c r="B46" s="68">
        <v>9257031</v>
      </c>
      <c r="C46" s="68" t="s">
        <v>84</v>
      </c>
      <c r="D46" s="8">
        <f>VLOOKUP('2324 OLEA Placements'!B46,'2223 Funding Detail'!$A$4:$Y$20,25,FALSE)</f>
        <v>11452.469991107198</v>
      </c>
      <c r="E46" s="5">
        <f>S51</f>
        <v>8</v>
      </c>
      <c r="F46" s="8">
        <f t="shared" si="5"/>
        <v>91619.759928857588</v>
      </c>
      <c r="H46" s="5" t="s">
        <v>757</v>
      </c>
      <c r="I46" s="5" t="s">
        <v>755</v>
      </c>
      <c r="J46" s="5">
        <v>58</v>
      </c>
      <c r="K46" s="5">
        <v>62</v>
      </c>
      <c r="L46" s="603">
        <v>44489</v>
      </c>
      <c r="M46" s="5"/>
      <c r="N46" s="5">
        <v>63</v>
      </c>
      <c r="O46" s="5">
        <v>52</v>
      </c>
      <c r="P46" s="5">
        <v>11</v>
      </c>
      <c r="Q46" s="5">
        <v>0</v>
      </c>
      <c r="R46" s="5">
        <v>0</v>
      </c>
      <c r="S46" s="5">
        <v>5</v>
      </c>
    </row>
    <row r="47" spans="2:19" x14ac:dyDescent="0.25">
      <c r="B47" s="68">
        <v>9257033</v>
      </c>
      <c r="C47" s="68" t="s">
        <v>74</v>
      </c>
      <c r="D47" s="8">
        <f>VLOOKUP('2324 OLEA Placements'!B47,'2223 Funding Detail'!$A$4:$Y$20,25,FALSE)</f>
        <v>4343.2578948714054</v>
      </c>
      <c r="E47" s="5">
        <f>S58</f>
        <v>4</v>
      </c>
      <c r="F47" s="8">
        <f t="shared" si="5"/>
        <v>17373.031579485621</v>
      </c>
      <c r="H47" s="5" t="s">
        <v>758</v>
      </c>
      <c r="I47" s="5" t="s">
        <v>755</v>
      </c>
      <c r="J47" s="5">
        <v>136</v>
      </c>
      <c r="K47" s="5">
        <v>139</v>
      </c>
      <c r="L47" s="603">
        <v>44489</v>
      </c>
      <c r="M47" s="5"/>
      <c r="N47" s="5">
        <v>139</v>
      </c>
      <c r="O47" s="5">
        <v>139</v>
      </c>
      <c r="P47" s="5">
        <v>0</v>
      </c>
      <c r="Q47" s="5">
        <v>0</v>
      </c>
      <c r="R47" s="5">
        <v>0</v>
      </c>
      <c r="S47" s="5">
        <v>11</v>
      </c>
    </row>
    <row r="48" spans="2:19" x14ac:dyDescent="0.25">
      <c r="B48" s="68">
        <v>9257008</v>
      </c>
      <c r="C48" s="68" t="s">
        <v>67</v>
      </c>
      <c r="D48" s="8">
        <f>VLOOKUP('2324 OLEA Placements'!B48,'2223 Funding Detail'!$A$4:$Y$20,25,FALSE)</f>
        <v>4671.0995924797789</v>
      </c>
      <c r="E48" s="5">
        <f>S54</f>
        <v>1</v>
      </c>
      <c r="F48" s="8">
        <f t="shared" si="5"/>
        <v>4671.0995924797789</v>
      </c>
      <c r="H48" s="5"/>
      <c r="I48" s="5"/>
      <c r="J48" s="5"/>
      <c r="K48" s="5"/>
      <c r="L48" s="5"/>
      <c r="M48" s="5"/>
      <c r="N48" s="5"/>
      <c r="O48" s="5"/>
      <c r="P48" s="5"/>
      <c r="Q48" s="5"/>
      <c r="R48" s="5"/>
      <c r="S48" s="5"/>
    </row>
    <row r="49" spans="2:19" x14ac:dyDescent="0.25">
      <c r="B49" s="68">
        <v>9257034</v>
      </c>
      <c r="C49" s="68" t="s">
        <v>75</v>
      </c>
      <c r="D49" s="8">
        <f>VLOOKUP('2324 OLEA Placements'!B49,'2223 Funding Detail'!$A$4:$Y$20,25,FALSE)</f>
        <v>3965.8693358669389</v>
      </c>
      <c r="E49" s="5">
        <f>S56</f>
        <v>16</v>
      </c>
      <c r="F49" s="8">
        <f t="shared" si="5"/>
        <v>63453.909373871022</v>
      </c>
      <c r="H49" s="5" t="s">
        <v>759</v>
      </c>
      <c r="I49" s="5" t="s">
        <v>755</v>
      </c>
      <c r="J49" s="5">
        <v>72</v>
      </c>
      <c r="K49" s="5">
        <v>70</v>
      </c>
      <c r="L49" s="603">
        <v>44489</v>
      </c>
      <c r="M49" s="5"/>
      <c r="N49" s="5">
        <v>70</v>
      </c>
      <c r="O49" s="5">
        <v>70</v>
      </c>
      <c r="P49" s="5">
        <v>0</v>
      </c>
      <c r="Q49" s="5">
        <v>0</v>
      </c>
      <c r="R49" s="5">
        <v>0</v>
      </c>
      <c r="S49" s="5">
        <v>5</v>
      </c>
    </row>
    <row r="50" spans="2:19" x14ac:dyDescent="0.25">
      <c r="B50" s="68">
        <v>9257002</v>
      </c>
      <c r="C50" s="68" t="s">
        <v>68</v>
      </c>
      <c r="D50" s="8">
        <f>VLOOKUP('2324 OLEA Placements'!B50,'2223 Funding Detail'!$A$4:$Y$20,25,FALSE)</f>
        <v>3436.7073869880551</v>
      </c>
      <c r="E50" s="5">
        <f>S73</f>
        <v>10</v>
      </c>
      <c r="F50" s="8">
        <f t="shared" si="5"/>
        <v>34367.073869880551</v>
      </c>
      <c r="H50" s="5"/>
      <c r="I50" s="5"/>
      <c r="J50" s="5"/>
      <c r="K50" s="5"/>
      <c r="L50" s="5"/>
      <c r="M50" s="5"/>
      <c r="N50" s="5"/>
      <c r="O50" s="5"/>
      <c r="P50" s="5"/>
      <c r="Q50" s="5"/>
      <c r="R50" s="5"/>
      <c r="S50" s="5"/>
    </row>
    <row r="51" spans="2:19" x14ac:dyDescent="0.25">
      <c r="B51" s="68">
        <v>9257009</v>
      </c>
      <c r="C51" s="68" t="s">
        <v>334</v>
      </c>
      <c r="D51" s="8">
        <f>VLOOKUP('2324 OLEA Placements'!B51,'2223 Funding Detail'!$A$4:$Y$20,25,FALSE)</f>
        <v>4079.1041058558312</v>
      </c>
      <c r="E51" s="5">
        <f>S47+5</f>
        <v>16</v>
      </c>
      <c r="F51" s="8">
        <f>D51*E51</f>
        <v>65265.6656936933</v>
      </c>
      <c r="H51" s="5" t="s">
        <v>154</v>
      </c>
      <c r="I51" s="5" t="s">
        <v>755</v>
      </c>
      <c r="J51" s="5">
        <v>81</v>
      </c>
      <c r="K51" s="5">
        <v>81</v>
      </c>
      <c r="L51" s="603">
        <v>44489</v>
      </c>
      <c r="M51" s="5"/>
      <c r="N51" s="5">
        <v>80</v>
      </c>
      <c r="O51" s="5">
        <v>80</v>
      </c>
      <c r="P51" s="5">
        <v>0</v>
      </c>
      <c r="Q51" s="5">
        <v>0</v>
      </c>
      <c r="R51" s="5">
        <v>0</v>
      </c>
      <c r="S51" s="5">
        <v>8</v>
      </c>
    </row>
    <row r="52" spans="2:19" x14ac:dyDescent="0.25">
      <c r="B52" s="68">
        <v>9257029</v>
      </c>
      <c r="C52" s="68" t="s">
        <v>278</v>
      </c>
      <c r="D52" s="8">
        <f>VLOOKUP('2324 OLEA Placements'!B52,'2223 Funding Detail'!$A$4:$Y$20,25,FALSE)</f>
        <v>11308.096185097274</v>
      </c>
      <c r="E52" s="5">
        <f>S69</f>
        <v>2</v>
      </c>
      <c r="F52" s="8">
        <f t="shared" si="5"/>
        <v>22616.192370194549</v>
      </c>
      <c r="H52" s="5" t="s">
        <v>760</v>
      </c>
      <c r="I52" s="604" t="s">
        <v>755</v>
      </c>
      <c r="J52" s="5">
        <v>104</v>
      </c>
      <c r="K52" s="5">
        <v>104</v>
      </c>
      <c r="L52" s="603">
        <v>44489</v>
      </c>
      <c r="M52" s="5"/>
      <c r="N52" s="5">
        <v>104</v>
      </c>
      <c r="O52" s="5">
        <v>104</v>
      </c>
      <c r="P52" s="5">
        <v>0</v>
      </c>
      <c r="Q52" s="5">
        <v>0</v>
      </c>
      <c r="R52" s="5">
        <v>0</v>
      </c>
      <c r="S52" s="5">
        <v>7</v>
      </c>
    </row>
    <row r="53" spans="2:19" x14ac:dyDescent="0.25">
      <c r="B53" s="68">
        <v>9257032</v>
      </c>
      <c r="C53" s="68" t="s">
        <v>380</v>
      </c>
      <c r="D53" s="8">
        <f>VLOOKUP('2324 OLEA Placements'!B53,'2223 Funding Detail'!$A$4:$Y$20,25,FALSE)</f>
        <v>9861.7226585045719</v>
      </c>
      <c r="E53" s="5">
        <f>S52</f>
        <v>7</v>
      </c>
      <c r="F53" s="8">
        <f t="shared" si="5"/>
        <v>69032.058609532003</v>
      </c>
      <c r="H53" s="5"/>
      <c r="I53" s="5"/>
      <c r="J53" s="5"/>
      <c r="K53" s="5"/>
      <c r="L53" s="5"/>
      <c r="M53" s="5"/>
      <c r="N53" s="5"/>
      <c r="O53" s="5"/>
      <c r="P53" s="5"/>
      <c r="Q53" s="5"/>
      <c r="R53" s="5"/>
      <c r="S53" s="5"/>
    </row>
    <row r="54" spans="2:19" x14ac:dyDescent="0.25">
      <c r="B54" s="68">
        <v>9257030</v>
      </c>
      <c r="C54" s="68" t="s">
        <v>383</v>
      </c>
      <c r="D54" s="8">
        <f>VLOOKUP('2324 OLEA Placements'!B54,'2223 Funding Detail'!$A$4:$Y$20,25,FALSE)</f>
        <v>12046.825296725754</v>
      </c>
      <c r="E54" s="5">
        <f>S49</f>
        <v>5</v>
      </c>
      <c r="F54" s="8">
        <f t="shared" si="5"/>
        <v>60234.126483628774</v>
      </c>
      <c r="H54" s="5" t="s">
        <v>761</v>
      </c>
      <c r="I54" s="5" t="s">
        <v>755</v>
      </c>
      <c r="J54" s="5">
        <v>99</v>
      </c>
      <c r="K54" s="5">
        <v>101</v>
      </c>
      <c r="L54" s="603">
        <v>44489</v>
      </c>
      <c r="M54" s="5"/>
      <c r="N54" s="5">
        <v>101</v>
      </c>
      <c r="O54" s="5">
        <v>101</v>
      </c>
      <c r="P54" s="5">
        <v>0</v>
      </c>
      <c r="Q54" s="5">
        <v>0</v>
      </c>
      <c r="R54" s="5">
        <v>0</v>
      </c>
      <c r="S54" s="5">
        <v>1</v>
      </c>
    </row>
    <row r="55" spans="2:19" x14ac:dyDescent="0.25">
      <c r="B55" s="68">
        <v>9257028</v>
      </c>
      <c r="C55" s="68" t="s">
        <v>70</v>
      </c>
      <c r="D55" s="8">
        <f>VLOOKUP('2324 OLEA Placements'!B55,'2223 Funding Detail'!$A$4:$Y$20,25,FALSE)</f>
        <v>7269.9438049059827</v>
      </c>
      <c r="E55" s="5">
        <f>S67</f>
        <v>10</v>
      </c>
      <c r="F55" s="8">
        <f t="shared" si="5"/>
        <v>72699.438049059827</v>
      </c>
      <c r="H55" s="5"/>
      <c r="I55" s="5"/>
      <c r="J55" s="5"/>
      <c r="K55" s="5"/>
      <c r="L55" s="5"/>
      <c r="M55" s="5"/>
      <c r="N55" s="5"/>
      <c r="O55" s="5"/>
      <c r="P55" s="5"/>
      <c r="Q55" s="5"/>
      <c r="R55" s="5"/>
      <c r="S55" s="5"/>
    </row>
    <row r="56" spans="2:19" ht="14.5" x14ac:dyDescent="0.35">
      <c r="B56" s="68">
        <v>9257021</v>
      </c>
      <c r="C56" s="68" t="s">
        <v>71</v>
      </c>
      <c r="D56" s="8">
        <f>VLOOKUP('2324 OLEA Placements'!B56,'2223 Funding Detail'!$A$4:$Y$20,25,FALSE)</f>
        <v>3446.214336037443</v>
      </c>
      <c r="E56" s="5">
        <f>S64</f>
        <v>7</v>
      </c>
      <c r="F56" s="8">
        <f t="shared" si="5"/>
        <v>24123.500352262101</v>
      </c>
      <c r="H56" s="5" t="s">
        <v>762</v>
      </c>
      <c r="I56" s="5" t="s">
        <v>755</v>
      </c>
      <c r="J56" s="605">
        <v>120</v>
      </c>
      <c r="K56" s="5">
        <v>124</v>
      </c>
      <c r="L56" s="603">
        <v>44489</v>
      </c>
      <c r="M56" s="5"/>
      <c r="N56" s="605">
        <v>124</v>
      </c>
      <c r="O56" s="605">
        <v>94</v>
      </c>
      <c r="P56" s="605">
        <v>30</v>
      </c>
      <c r="Q56" s="605">
        <v>0</v>
      </c>
      <c r="R56" s="605">
        <v>0</v>
      </c>
      <c r="S56" s="605">
        <v>16</v>
      </c>
    </row>
    <row r="57" spans="2:19" ht="14.5" x14ac:dyDescent="0.35">
      <c r="B57" s="68">
        <v>9257015</v>
      </c>
      <c r="C57" s="68" t="s">
        <v>72</v>
      </c>
      <c r="D57" s="8">
        <f>VLOOKUP('2324 OLEA Placements'!B57,'2223 Funding Detail'!$A$4:$Y$20,25,FALSE)</f>
        <v>3279.3151120902494</v>
      </c>
      <c r="E57" s="5">
        <f>S60</f>
        <v>0</v>
      </c>
      <c r="F57" s="8">
        <f t="shared" si="5"/>
        <v>0</v>
      </c>
      <c r="H57" s="5"/>
      <c r="I57" s="5"/>
      <c r="J57" s="605"/>
      <c r="K57" s="5"/>
      <c r="L57" s="603"/>
      <c r="M57" s="5"/>
      <c r="N57" s="605"/>
      <c r="O57" s="605"/>
      <c r="P57" s="605"/>
      <c r="Q57" s="605"/>
      <c r="R57" s="605"/>
      <c r="S57" s="605"/>
    </row>
    <row r="58" spans="2:19" ht="14.5" x14ac:dyDescent="0.35">
      <c r="B58" s="68">
        <v>9257016</v>
      </c>
      <c r="C58" s="68" t="s">
        <v>73</v>
      </c>
      <c r="D58" s="8">
        <f>VLOOKUP('2324 OLEA Placements'!B58,'2223 Funding Detail'!$A$4:$Y$20,25,FALSE)</f>
        <v>9029.6922855703269</v>
      </c>
      <c r="E58" s="5">
        <f>S62</f>
        <v>3</v>
      </c>
      <c r="F58" s="8">
        <f>D58*E58</f>
        <v>27089.076856710981</v>
      </c>
      <c r="H58" s="5" t="s">
        <v>763</v>
      </c>
      <c r="I58" s="5" t="s">
        <v>755</v>
      </c>
      <c r="J58" s="605">
        <v>98</v>
      </c>
      <c r="K58" s="5">
        <v>112</v>
      </c>
      <c r="L58" s="603">
        <v>44489</v>
      </c>
      <c r="M58" s="5"/>
      <c r="N58" s="605">
        <v>112</v>
      </c>
      <c r="O58" s="605">
        <v>112</v>
      </c>
      <c r="P58" s="605">
        <v>0</v>
      </c>
      <c r="Q58" s="605">
        <v>0</v>
      </c>
      <c r="R58" s="605">
        <v>0</v>
      </c>
      <c r="S58" s="605">
        <v>4</v>
      </c>
    </row>
    <row r="59" spans="2:19" x14ac:dyDescent="0.25">
      <c r="H59" s="5"/>
      <c r="I59" s="5"/>
      <c r="J59" s="5"/>
      <c r="K59" s="5"/>
      <c r="L59" s="5"/>
      <c r="M59" s="5"/>
      <c r="N59" s="5"/>
      <c r="O59" s="5"/>
      <c r="P59" s="5"/>
      <c r="Q59" s="5"/>
      <c r="R59" s="5"/>
      <c r="S59" s="5"/>
    </row>
    <row r="60" spans="2:19" ht="14.5" x14ac:dyDescent="0.35">
      <c r="E60" s="3">
        <f>SUM(E42:E59)</f>
        <v>100</v>
      </c>
      <c r="F60" s="345">
        <f>SUM(F42:F59)</f>
        <v>640834.69626913476</v>
      </c>
      <c r="H60" s="5" t="s">
        <v>764</v>
      </c>
      <c r="I60" s="5" t="s">
        <v>755</v>
      </c>
      <c r="J60" s="5">
        <v>226</v>
      </c>
      <c r="K60" s="5">
        <v>225</v>
      </c>
      <c r="L60" s="603">
        <v>44489</v>
      </c>
      <c r="M60" s="5"/>
      <c r="N60" s="5">
        <v>225</v>
      </c>
      <c r="O60" s="605">
        <v>209</v>
      </c>
      <c r="P60" s="605">
        <v>16</v>
      </c>
      <c r="Q60" s="605">
        <v>0</v>
      </c>
      <c r="R60" s="605">
        <v>0</v>
      </c>
      <c r="S60" s="605">
        <v>0</v>
      </c>
    </row>
    <row r="61" spans="2:19" ht="14.5" x14ac:dyDescent="0.35">
      <c r="H61" s="5"/>
      <c r="I61" s="5"/>
      <c r="J61" s="5"/>
      <c r="K61" s="5"/>
      <c r="L61" s="603"/>
      <c r="M61" s="5"/>
      <c r="N61" s="5"/>
      <c r="O61" s="605"/>
      <c r="P61" s="605"/>
      <c r="Q61" s="605"/>
      <c r="R61" s="605"/>
      <c r="S61" s="605"/>
    </row>
    <row r="62" spans="2:19" x14ac:dyDescent="0.25">
      <c r="H62" s="5" t="s">
        <v>765</v>
      </c>
      <c r="I62" s="5" t="s">
        <v>755</v>
      </c>
      <c r="J62" s="5">
        <v>164</v>
      </c>
      <c r="K62" s="5">
        <v>166</v>
      </c>
      <c r="L62" s="603">
        <v>44489</v>
      </c>
      <c r="M62" s="5"/>
      <c r="N62" s="5">
        <v>166</v>
      </c>
      <c r="O62" s="5">
        <v>112</v>
      </c>
      <c r="P62" s="5">
        <v>54</v>
      </c>
      <c r="Q62" s="5">
        <v>0</v>
      </c>
      <c r="R62" s="5">
        <v>0</v>
      </c>
      <c r="S62" s="5">
        <v>3</v>
      </c>
    </row>
    <row r="63" spans="2:19" x14ac:dyDescent="0.25">
      <c r="H63" s="5"/>
      <c r="I63" s="5"/>
      <c r="J63" s="5"/>
      <c r="K63" s="5"/>
      <c r="L63" s="5"/>
      <c r="M63" s="5"/>
      <c r="N63" s="5"/>
      <c r="O63" s="5"/>
      <c r="P63" s="5"/>
      <c r="Q63" s="5"/>
      <c r="R63" s="5"/>
      <c r="S63" s="5"/>
    </row>
    <row r="64" spans="2:19" x14ac:dyDescent="0.25">
      <c r="H64" s="5" t="s">
        <v>766</v>
      </c>
      <c r="I64" s="5" t="s">
        <v>755</v>
      </c>
      <c r="J64" s="5">
        <v>169</v>
      </c>
      <c r="K64" s="5">
        <v>178</v>
      </c>
      <c r="L64" s="603">
        <v>44489</v>
      </c>
      <c r="M64" s="5"/>
      <c r="N64" s="5">
        <v>178</v>
      </c>
      <c r="O64" s="5">
        <v>178</v>
      </c>
      <c r="P64" s="5">
        <v>0</v>
      </c>
      <c r="Q64" s="5">
        <v>0</v>
      </c>
      <c r="R64" s="5">
        <v>0</v>
      </c>
      <c r="S64" s="5">
        <v>7</v>
      </c>
    </row>
    <row r="65" spans="2:19" x14ac:dyDescent="0.25">
      <c r="H65" s="5" t="s">
        <v>767</v>
      </c>
      <c r="I65" s="5" t="s">
        <v>755</v>
      </c>
      <c r="J65" s="5">
        <v>78</v>
      </c>
      <c r="K65" s="5">
        <v>89</v>
      </c>
      <c r="L65" s="603">
        <v>44489</v>
      </c>
      <c r="M65" s="5"/>
      <c r="N65" s="5">
        <v>89</v>
      </c>
      <c r="O65" s="5">
        <v>58</v>
      </c>
      <c r="P65" s="5">
        <v>24</v>
      </c>
      <c r="Q65" s="5">
        <v>7</v>
      </c>
      <c r="R65" s="5">
        <v>0</v>
      </c>
      <c r="S65" s="5">
        <v>3</v>
      </c>
    </row>
    <row r="66" spans="2:19" x14ac:dyDescent="0.25">
      <c r="H66" s="5"/>
      <c r="I66" s="5"/>
      <c r="J66" s="5"/>
      <c r="K66" s="5"/>
      <c r="L66" s="5"/>
      <c r="M66" s="5"/>
      <c r="N66" s="5"/>
      <c r="O66" s="5"/>
      <c r="P66" s="5"/>
      <c r="Q66" s="5"/>
      <c r="R66" s="5"/>
      <c r="S66" s="5"/>
    </row>
    <row r="67" spans="2:19" ht="14.5" x14ac:dyDescent="0.35">
      <c r="H67" s="5" t="s">
        <v>768</v>
      </c>
      <c r="I67" s="5" t="s">
        <v>755</v>
      </c>
      <c r="J67" s="605">
        <v>122</v>
      </c>
      <c r="K67" s="5">
        <v>148</v>
      </c>
      <c r="L67" s="603">
        <v>44489</v>
      </c>
      <c r="M67" s="5"/>
      <c r="N67" s="605">
        <v>135</v>
      </c>
      <c r="O67" s="606">
        <v>120</v>
      </c>
      <c r="P67" s="606">
        <v>9</v>
      </c>
      <c r="Q67" s="606">
        <v>6</v>
      </c>
      <c r="R67" s="606">
        <v>0</v>
      </c>
      <c r="S67" s="5">
        <v>10</v>
      </c>
    </row>
    <row r="68" spans="2:19" x14ac:dyDescent="0.25">
      <c r="H68" s="5"/>
      <c r="I68" s="5"/>
      <c r="J68" s="5"/>
      <c r="K68" s="5"/>
      <c r="L68" s="5"/>
      <c r="M68" s="5"/>
      <c r="N68" s="5"/>
      <c r="O68" s="5"/>
      <c r="P68" s="5"/>
      <c r="Q68" s="5"/>
      <c r="R68" s="5"/>
      <c r="S68" s="5"/>
    </row>
    <row r="69" spans="2:19" x14ac:dyDescent="0.25">
      <c r="H69" s="5" t="s">
        <v>769</v>
      </c>
      <c r="I69" s="5" t="s">
        <v>755</v>
      </c>
      <c r="J69" s="5">
        <v>78</v>
      </c>
      <c r="K69" s="5">
        <v>79</v>
      </c>
      <c r="L69" s="603">
        <v>44489</v>
      </c>
      <c r="M69" s="5"/>
      <c r="N69" s="5">
        <v>79</v>
      </c>
      <c r="O69" s="5">
        <v>79</v>
      </c>
      <c r="P69" s="5">
        <v>0</v>
      </c>
      <c r="Q69" s="5">
        <v>0</v>
      </c>
      <c r="R69" s="5">
        <v>0</v>
      </c>
      <c r="S69" s="5">
        <v>2</v>
      </c>
    </row>
    <row r="70" spans="2:19" x14ac:dyDescent="0.25">
      <c r="H70" s="5"/>
      <c r="I70" s="5"/>
      <c r="J70" s="5"/>
      <c r="K70" s="5"/>
      <c r="L70" s="5"/>
      <c r="M70" s="5"/>
      <c r="N70" s="5"/>
      <c r="O70" s="5"/>
      <c r="P70" s="5"/>
      <c r="Q70" s="5"/>
      <c r="R70" s="5"/>
      <c r="S70" s="5"/>
    </row>
    <row r="71" spans="2:19" x14ac:dyDescent="0.25">
      <c r="H71" s="5" t="s">
        <v>770</v>
      </c>
      <c r="I71" s="5" t="s">
        <v>755</v>
      </c>
      <c r="J71" s="5">
        <v>84</v>
      </c>
      <c r="K71" s="5">
        <v>88</v>
      </c>
      <c r="L71" s="603">
        <v>44489</v>
      </c>
      <c r="M71" s="5"/>
      <c r="N71" s="5">
        <v>88</v>
      </c>
      <c r="O71" s="5">
        <v>72</v>
      </c>
      <c r="P71" s="5">
        <v>13</v>
      </c>
      <c r="Q71" s="5">
        <v>3</v>
      </c>
      <c r="R71" s="5">
        <v>0</v>
      </c>
      <c r="S71" s="5">
        <v>1</v>
      </c>
    </row>
    <row r="72" spans="2:19" x14ac:dyDescent="0.25">
      <c r="H72" s="5"/>
      <c r="I72" s="5"/>
      <c r="J72" s="5"/>
      <c r="K72" s="5"/>
      <c r="L72" s="5"/>
      <c r="M72" s="5"/>
      <c r="N72" s="5"/>
      <c r="O72" s="5"/>
      <c r="P72" s="5"/>
      <c r="Q72" s="5"/>
      <c r="R72" s="5"/>
      <c r="S72" s="5"/>
    </row>
    <row r="73" spans="2:19" ht="14.5" x14ac:dyDescent="0.35">
      <c r="H73" s="5" t="s">
        <v>771</v>
      </c>
      <c r="I73" s="5" t="s">
        <v>755</v>
      </c>
      <c r="J73" s="5">
        <v>151</v>
      </c>
      <c r="K73" s="5">
        <v>159</v>
      </c>
      <c r="L73" s="603">
        <v>44489</v>
      </c>
      <c r="M73" s="5"/>
      <c r="N73" s="5">
        <v>159</v>
      </c>
      <c r="O73" s="605">
        <v>159</v>
      </c>
      <c r="P73" s="605">
        <v>0</v>
      </c>
      <c r="Q73" s="605">
        <v>0</v>
      </c>
      <c r="R73" s="605">
        <v>0</v>
      </c>
      <c r="S73" s="605">
        <v>10</v>
      </c>
    </row>
    <row r="74" spans="2:19" x14ac:dyDescent="0.25">
      <c r="H74" s="5" t="s">
        <v>772</v>
      </c>
      <c r="I74" s="5" t="s">
        <v>755</v>
      </c>
      <c r="J74" s="5">
        <v>86</v>
      </c>
      <c r="K74" s="5">
        <v>90</v>
      </c>
      <c r="L74" s="603">
        <v>44489</v>
      </c>
      <c r="M74" s="5"/>
      <c r="N74" s="5">
        <v>90</v>
      </c>
      <c r="O74" s="5">
        <v>59</v>
      </c>
      <c r="P74" s="5">
        <v>31</v>
      </c>
      <c r="Q74" s="5">
        <v>0</v>
      </c>
      <c r="R74" s="5">
        <v>0</v>
      </c>
      <c r="S74" s="5">
        <v>4</v>
      </c>
    </row>
    <row r="75" spans="2:19" x14ac:dyDescent="0.25">
      <c r="H75" s="5"/>
      <c r="I75" s="5"/>
      <c r="J75" s="5"/>
      <c r="K75" s="5"/>
      <c r="L75" s="5"/>
      <c r="M75" s="5"/>
      <c r="N75" s="5"/>
      <c r="O75" s="5"/>
      <c r="P75" s="5"/>
      <c r="Q75" s="5"/>
      <c r="R75" s="5"/>
      <c r="S75" s="5"/>
    </row>
    <row r="76" spans="2:19" ht="14.5" x14ac:dyDescent="0.35">
      <c r="B76" s="165" t="s">
        <v>405</v>
      </c>
      <c r="H76" s="5"/>
      <c r="I76" s="5"/>
      <c r="J76" s="343">
        <f>SUM(J44:J74)</f>
        <v>2026</v>
      </c>
      <c r="K76" s="343">
        <f>SUM(K44:K74)</f>
        <v>2141</v>
      </c>
      <c r="L76" s="343"/>
      <c r="M76" s="343"/>
      <c r="N76" s="343">
        <f t="shared" ref="N76:S76" si="6">SUM(N44:N74)</f>
        <v>2128</v>
      </c>
      <c r="O76" s="343">
        <f t="shared" si="6"/>
        <v>1887</v>
      </c>
      <c r="P76" s="343">
        <f t="shared" si="6"/>
        <v>200</v>
      </c>
      <c r="Q76" s="343">
        <f t="shared" si="6"/>
        <v>41</v>
      </c>
      <c r="R76" s="343">
        <f t="shared" si="6"/>
        <v>0</v>
      </c>
      <c r="S76" s="343">
        <f t="shared" si="6"/>
        <v>100</v>
      </c>
    </row>
    <row r="78" spans="2:19" ht="25" x14ac:dyDescent="0.25">
      <c r="B78" s="638" t="s">
        <v>48</v>
      </c>
      <c r="C78" s="639" t="s">
        <v>49</v>
      </c>
      <c r="D78" s="5" t="s">
        <v>745</v>
      </c>
      <c r="E78" s="69" t="s">
        <v>746</v>
      </c>
      <c r="F78" s="69" t="s">
        <v>289</v>
      </c>
    </row>
    <row r="79" spans="2:19" x14ac:dyDescent="0.25">
      <c r="B79" s="68">
        <v>9257010</v>
      </c>
      <c r="C79" s="68" t="s">
        <v>60</v>
      </c>
      <c r="D79" s="8" t="e">
        <f>VLOOKUP(#REF!,#REF!,23,FALSE)</f>
        <v>#REF!</v>
      </c>
      <c r="E79" s="5">
        <f>S82</f>
        <v>1</v>
      </c>
      <c r="F79" s="8" t="e">
        <f>D79*E79</f>
        <v>#REF!</v>
      </c>
    </row>
    <row r="80" spans="2:19" ht="14.5" x14ac:dyDescent="0.35">
      <c r="B80" s="68">
        <v>9257005</v>
      </c>
      <c r="C80" s="68" t="s">
        <v>63</v>
      </c>
      <c r="D80" s="8" t="e">
        <f>VLOOKUP(#REF!,#REF!,23,FALSE)</f>
        <v>#REF!</v>
      </c>
      <c r="E80" s="5">
        <f>S110</f>
        <v>6</v>
      </c>
      <c r="F80" s="8" t="e">
        <f t="shared" ref="F80:F96" si="7">D80*E80</f>
        <v>#REF!</v>
      </c>
      <c r="H80" s="343" t="s">
        <v>49</v>
      </c>
      <c r="I80" s="343" t="s">
        <v>747</v>
      </c>
      <c r="J80" s="343" t="s">
        <v>748</v>
      </c>
      <c r="K80" s="343" t="s">
        <v>749</v>
      </c>
      <c r="L80" s="343" t="s">
        <v>750</v>
      </c>
      <c r="M80" s="343"/>
      <c r="N80" s="343" t="s">
        <v>751</v>
      </c>
      <c r="O80" s="343" t="s">
        <v>101</v>
      </c>
      <c r="P80" s="343" t="s">
        <v>752</v>
      </c>
      <c r="Q80" s="344" t="s">
        <v>101</v>
      </c>
      <c r="R80" s="344" t="s">
        <v>88</v>
      </c>
      <c r="S80" s="343" t="s">
        <v>753</v>
      </c>
    </row>
    <row r="81" spans="2:19" x14ac:dyDescent="0.25">
      <c r="B81" s="68">
        <v>9257025</v>
      </c>
      <c r="C81" s="68" t="s">
        <v>64</v>
      </c>
      <c r="D81" s="8" t="e">
        <f>VLOOKUP(#REF!,#REF!,23,FALSE)</f>
        <v>#REF!</v>
      </c>
      <c r="E81" s="5">
        <f>S100</f>
        <v>1</v>
      </c>
      <c r="F81" s="8" t="e">
        <f t="shared" si="7"/>
        <v>#REF!</v>
      </c>
      <c r="H81" s="5"/>
      <c r="I81" s="5"/>
      <c r="J81" s="5"/>
      <c r="K81" s="5"/>
      <c r="L81" s="5"/>
      <c r="M81" s="5"/>
      <c r="N81" s="5"/>
      <c r="O81" s="5"/>
      <c r="P81" s="5"/>
      <c r="Q81" s="5"/>
      <c r="R81" s="5"/>
      <c r="S81" s="5"/>
    </row>
    <row r="82" spans="2:19" x14ac:dyDescent="0.25">
      <c r="B82" s="68">
        <v>9257011</v>
      </c>
      <c r="C82" s="68" t="s">
        <v>65</v>
      </c>
      <c r="D82" s="8" t="e">
        <f>VLOOKUP(#REF!,#REF!,23,FALSE)</f>
        <v>#REF!</v>
      </c>
      <c r="E82" s="5">
        <f>S83</f>
        <v>5</v>
      </c>
      <c r="F82" s="8" t="e">
        <f t="shared" si="7"/>
        <v>#REF!</v>
      </c>
      <c r="H82" s="5" t="s">
        <v>754</v>
      </c>
      <c r="I82" s="5" t="s">
        <v>755</v>
      </c>
      <c r="J82" s="5">
        <f>'[22]2021'!O43+'[22]2021'!P43</f>
        <v>0</v>
      </c>
      <c r="K82" s="5">
        <v>65</v>
      </c>
      <c r="L82" s="603" t="s">
        <v>756</v>
      </c>
      <c r="M82" s="5"/>
      <c r="N82" s="5">
        <v>100</v>
      </c>
      <c r="O82" s="5">
        <v>54</v>
      </c>
      <c r="P82" s="5">
        <v>10</v>
      </c>
      <c r="Q82" s="5">
        <v>36</v>
      </c>
      <c r="R82" s="5">
        <v>0</v>
      </c>
      <c r="S82" s="5">
        <v>1</v>
      </c>
    </row>
    <row r="83" spans="2:19" x14ac:dyDescent="0.25">
      <c r="B83" s="68">
        <v>9257024</v>
      </c>
      <c r="C83" s="68" t="s">
        <v>66</v>
      </c>
      <c r="D83" s="8" t="e">
        <f>VLOOKUP(#REF!,#REF!,23,FALSE)</f>
        <v>#REF!</v>
      </c>
      <c r="E83" s="5">
        <f>S106</f>
        <v>1</v>
      </c>
      <c r="F83" s="8" t="e">
        <f t="shared" si="7"/>
        <v>#REF!</v>
      </c>
      <c r="H83" s="5" t="s">
        <v>757</v>
      </c>
      <c r="I83" s="5" t="s">
        <v>755</v>
      </c>
      <c r="J83" s="5">
        <f>'[22]2021'!O44+'[22]2021'!P44</f>
        <v>0</v>
      </c>
      <c r="K83" s="5">
        <v>58</v>
      </c>
      <c r="L83" s="603" t="s">
        <v>755</v>
      </c>
      <c r="M83" s="5"/>
      <c r="N83" s="5">
        <v>58</v>
      </c>
      <c r="O83" s="5">
        <v>50</v>
      </c>
      <c r="P83" s="5">
        <v>8</v>
      </c>
      <c r="Q83" s="5">
        <v>0</v>
      </c>
      <c r="R83" s="5">
        <v>0</v>
      </c>
      <c r="S83" s="5">
        <v>5</v>
      </c>
    </row>
    <row r="84" spans="2:19" x14ac:dyDescent="0.25">
      <c r="B84" s="68">
        <v>9257031</v>
      </c>
      <c r="C84" s="68" t="s">
        <v>84</v>
      </c>
      <c r="D84" s="8" t="e">
        <f>VLOOKUP(#REF!,#REF!,23,FALSE)</f>
        <v>#REF!</v>
      </c>
      <c r="E84" s="5">
        <f>S88</f>
        <v>6</v>
      </c>
      <c r="F84" s="8" t="e">
        <f t="shared" si="7"/>
        <v>#REF!</v>
      </c>
      <c r="H84" s="5" t="s">
        <v>758</v>
      </c>
      <c r="I84" s="5" t="s">
        <v>755</v>
      </c>
      <c r="J84" s="5">
        <f>'[22]2021'!O45+'[22]2021'!P45</f>
        <v>0</v>
      </c>
      <c r="K84" s="5">
        <v>135</v>
      </c>
      <c r="L84" s="603" t="s">
        <v>755</v>
      </c>
      <c r="M84" s="5"/>
      <c r="N84" s="5">
        <v>136</v>
      </c>
      <c r="O84" s="5">
        <v>136</v>
      </c>
      <c r="P84" s="5">
        <v>0</v>
      </c>
      <c r="Q84" s="5">
        <v>0</v>
      </c>
      <c r="R84" s="5">
        <v>0</v>
      </c>
      <c r="S84" s="5">
        <v>11</v>
      </c>
    </row>
    <row r="85" spans="2:19" x14ac:dyDescent="0.25">
      <c r="B85" s="68">
        <v>9257033</v>
      </c>
      <c r="C85" s="68" t="s">
        <v>74</v>
      </c>
      <c r="D85" s="8" t="e">
        <f>VLOOKUP(#REF!,#REF!,23,FALSE)</f>
        <v>#REF!</v>
      </c>
      <c r="E85" s="5">
        <f>S94</f>
        <v>3</v>
      </c>
      <c r="F85" s="8" t="e">
        <f t="shared" si="7"/>
        <v>#REF!</v>
      </c>
      <c r="H85" s="5"/>
      <c r="I85" s="5"/>
      <c r="J85" s="5"/>
      <c r="K85" s="5"/>
      <c r="L85" s="5"/>
      <c r="M85" s="5"/>
      <c r="N85" s="5"/>
      <c r="O85" s="5"/>
      <c r="P85" s="5"/>
      <c r="Q85" s="5"/>
      <c r="R85" s="5"/>
      <c r="S85" s="5"/>
    </row>
    <row r="86" spans="2:19" x14ac:dyDescent="0.25">
      <c r="B86" s="68">
        <v>9257008</v>
      </c>
      <c r="C86" s="68" t="s">
        <v>67</v>
      </c>
      <c r="D86" s="8" t="e">
        <f>VLOOKUP(#REF!,#REF!,23,FALSE)</f>
        <v>#REF!</v>
      </c>
      <c r="E86" s="5">
        <f>S91</f>
        <v>0</v>
      </c>
      <c r="F86" s="8" t="e">
        <f t="shared" si="7"/>
        <v>#REF!</v>
      </c>
      <c r="H86" s="5" t="s">
        <v>759</v>
      </c>
      <c r="I86" s="5" t="s">
        <v>755</v>
      </c>
      <c r="J86" s="5">
        <f>'[22]2021'!O47+'[22]2021'!P47</f>
        <v>0</v>
      </c>
      <c r="K86" s="5">
        <v>72</v>
      </c>
      <c r="L86" s="603" t="s">
        <v>755</v>
      </c>
      <c r="M86" s="5"/>
      <c r="N86" s="5">
        <v>72</v>
      </c>
      <c r="O86" s="5">
        <v>72</v>
      </c>
      <c r="P86" s="5">
        <v>0</v>
      </c>
      <c r="Q86" s="5">
        <v>0</v>
      </c>
      <c r="R86" s="5">
        <v>0</v>
      </c>
      <c r="S86" s="5">
        <v>4</v>
      </c>
    </row>
    <row r="87" spans="2:19" x14ac:dyDescent="0.25">
      <c r="B87" s="68">
        <v>9257034</v>
      </c>
      <c r="C87" s="68" t="s">
        <v>75</v>
      </c>
      <c r="D87" s="8" t="e">
        <f>VLOOKUP(#REF!,#REF!,23,FALSE)</f>
        <v>#REF!</v>
      </c>
      <c r="E87" s="5">
        <f>S93</f>
        <v>21</v>
      </c>
      <c r="F87" s="8" t="e">
        <f t="shared" si="7"/>
        <v>#REF!</v>
      </c>
      <c r="H87" s="5"/>
      <c r="I87" s="5"/>
      <c r="J87" s="5"/>
      <c r="K87" s="5"/>
      <c r="L87" s="5"/>
      <c r="M87" s="5"/>
      <c r="N87" s="5"/>
      <c r="O87" s="5"/>
      <c r="P87" s="5"/>
      <c r="Q87" s="5"/>
      <c r="R87" s="5"/>
      <c r="S87" s="5"/>
    </row>
    <row r="88" spans="2:19" x14ac:dyDescent="0.25">
      <c r="B88" s="68">
        <v>9257002</v>
      </c>
      <c r="C88" s="68" t="s">
        <v>68</v>
      </c>
      <c r="D88" s="8" t="e">
        <f>VLOOKUP(#REF!,#REF!,23,FALSE)</f>
        <v>#REF!</v>
      </c>
      <c r="E88" s="5">
        <f>S108</f>
        <v>10</v>
      </c>
      <c r="F88" s="8" t="e">
        <f t="shared" si="7"/>
        <v>#REF!</v>
      </c>
      <c r="H88" s="5" t="s">
        <v>154</v>
      </c>
      <c r="I88" s="5" t="s">
        <v>755</v>
      </c>
      <c r="J88" s="5">
        <f>'[22]2021'!O49+'[22]2021'!P49</f>
        <v>0</v>
      </c>
      <c r="K88" s="5">
        <v>81</v>
      </c>
      <c r="L88" s="603" t="s">
        <v>755</v>
      </c>
      <c r="M88" s="5"/>
      <c r="N88" s="5">
        <v>81</v>
      </c>
      <c r="O88" s="5">
        <v>81</v>
      </c>
      <c r="P88" s="5">
        <v>0</v>
      </c>
      <c r="Q88" s="5">
        <v>0</v>
      </c>
      <c r="R88" s="5">
        <v>0</v>
      </c>
      <c r="S88" s="5">
        <v>6</v>
      </c>
    </row>
    <row r="89" spans="2:19" x14ac:dyDescent="0.25">
      <c r="B89" s="68">
        <v>9257009</v>
      </c>
      <c r="C89" s="68" t="s">
        <v>69</v>
      </c>
      <c r="D89" s="8" t="e">
        <f>VLOOKUP(#REF!,#REF!,23,FALSE)</f>
        <v>#REF!</v>
      </c>
      <c r="E89" s="5">
        <f>S84</f>
        <v>11</v>
      </c>
      <c r="F89" s="8" t="e">
        <f t="shared" si="7"/>
        <v>#REF!</v>
      </c>
      <c r="H89" s="5" t="s">
        <v>760</v>
      </c>
      <c r="I89" s="604" t="s">
        <v>755</v>
      </c>
      <c r="J89" s="5">
        <f>'[22]2021'!O50+'[22]2021'!P50</f>
        <v>0</v>
      </c>
      <c r="K89" s="5">
        <v>104</v>
      </c>
      <c r="L89" s="603" t="s">
        <v>755</v>
      </c>
      <c r="M89" s="5"/>
      <c r="N89" s="5">
        <v>104</v>
      </c>
      <c r="O89" s="5">
        <v>97</v>
      </c>
      <c r="P89" s="5">
        <v>0</v>
      </c>
      <c r="Q89" s="5">
        <v>7</v>
      </c>
      <c r="R89" s="5">
        <v>0</v>
      </c>
      <c r="S89" s="5">
        <v>4</v>
      </c>
    </row>
    <row r="90" spans="2:19" x14ac:dyDescent="0.25">
      <c r="B90" s="68">
        <v>9257029</v>
      </c>
      <c r="C90" s="68" t="s">
        <v>278</v>
      </c>
      <c r="D90" s="8" t="e">
        <f>VLOOKUP(#REF!,#REF!,23,FALSE)</f>
        <v>#REF!</v>
      </c>
      <c r="E90" s="5">
        <f>S104</f>
        <v>1</v>
      </c>
      <c r="F90" s="8" t="e">
        <f t="shared" si="7"/>
        <v>#REF!</v>
      </c>
      <c r="H90" s="5"/>
      <c r="I90" s="5"/>
      <c r="J90" s="5"/>
      <c r="K90" s="5"/>
      <c r="L90" s="5"/>
      <c r="M90" s="5"/>
      <c r="N90" s="5"/>
      <c r="O90" s="5"/>
      <c r="P90" s="5"/>
      <c r="Q90" s="5"/>
      <c r="R90" s="5"/>
      <c r="S90" s="5"/>
    </row>
    <row r="91" spans="2:19" x14ac:dyDescent="0.25">
      <c r="B91" s="68">
        <v>9257032</v>
      </c>
      <c r="C91" s="68" t="s">
        <v>380</v>
      </c>
      <c r="D91" s="8" t="e">
        <f>VLOOKUP(#REF!,#REF!,23,FALSE)</f>
        <v>#REF!</v>
      </c>
      <c r="E91" s="5">
        <f>S89</f>
        <v>4</v>
      </c>
      <c r="F91" s="8" t="e">
        <f t="shared" si="7"/>
        <v>#REF!</v>
      </c>
      <c r="H91" s="5" t="s">
        <v>761</v>
      </c>
      <c r="I91" s="5" t="s">
        <v>755</v>
      </c>
      <c r="J91" s="5">
        <f>'[22]2021'!O52+'[22]2021'!P52</f>
        <v>0</v>
      </c>
      <c r="K91" s="5">
        <v>99</v>
      </c>
      <c r="L91" s="603" t="s">
        <v>755</v>
      </c>
      <c r="M91" s="5"/>
      <c r="N91" s="5">
        <v>99</v>
      </c>
      <c r="O91" s="5">
        <v>99</v>
      </c>
      <c r="P91" s="5">
        <v>0</v>
      </c>
      <c r="Q91" s="5">
        <v>0</v>
      </c>
      <c r="R91" s="5">
        <v>0</v>
      </c>
      <c r="S91" s="5">
        <v>0</v>
      </c>
    </row>
    <row r="92" spans="2:19" x14ac:dyDescent="0.25">
      <c r="B92" s="68">
        <v>9257030</v>
      </c>
      <c r="C92" s="68" t="s">
        <v>383</v>
      </c>
      <c r="D92" s="8" t="e">
        <f>VLOOKUP(#REF!,#REF!,23,FALSE)</f>
        <v>#REF!</v>
      </c>
      <c r="E92" s="5">
        <f>S86</f>
        <v>4</v>
      </c>
      <c r="F92" s="8" t="e">
        <f t="shared" si="7"/>
        <v>#REF!</v>
      </c>
      <c r="H92" s="5"/>
      <c r="I92" s="5"/>
      <c r="J92" s="5"/>
      <c r="K92" s="5"/>
      <c r="L92" s="5"/>
      <c r="M92" s="5"/>
      <c r="N92" s="5"/>
      <c r="O92" s="5"/>
      <c r="P92" s="5"/>
      <c r="Q92" s="5"/>
      <c r="R92" s="5"/>
      <c r="S92" s="5"/>
    </row>
    <row r="93" spans="2:19" ht="14.5" x14ac:dyDescent="0.35">
      <c r="B93" s="68">
        <v>9257028</v>
      </c>
      <c r="C93" s="68" t="s">
        <v>70</v>
      </c>
      <c r="D93" s="8" t="e">
        <f>VLOOKUP(#REF!,#REF!,23,FALSE)</f>
        <v>#REF!</v>
      </c>
      <c r="E93" s="5">
        <f>S102</f>
        <v>10</v>
      </c>
      <c r="F93" s="8" t="e">
        <f t="shared" si="7"/>
        <v>#REF!</v>
      </c>
      <c r="H93" s="5" t="s">
        <v>762</v>
      </c>
      <c r="I93" s="5" t="s">
        <v>755</v>
      </c>
      <c r="J93" s="5">
        <f>'[22]2021'!O54+'[22]2021'!P54</f>
        <v>0</v>
      </c>
      <c r="K93" s="5">
        <v>120</v>
      </c>
      <c r="L93" s="603" t="s">
        <v>755</v>
      </c>
      <c r="M93" s="5"/>
      <c r="N93" s="605">
        <v>120</v>
      </c>
      <c r="O93" s="605">
        <v>88</v>
      </c>
      <c r="P93" s="605">
        <v>32</v>
      </c>
      <c r="Q93" s="605">
        <v>0</v>
      </c>
      <c r="R93" s="605">
        <v>0</v>
      </c>
      <c r="S93" s="605">
        <v>21</v>
      </c>
    </row>
    <row r="94" spans="2:19" ht="14.5" x14ac:dyDescent="0.35">
      <c r="B94" s="68">
        <v>9257021</v>
      </c>
      <c r="C94" s="68" t="s">
        <v>71</v>
      </c>
      <c r="D94" s="8" t="e">
        <f>VLOOKUP(#REF!,#REF!,23,FALSE)</f>
        <v>#REF!</v>
      </c>
      <c r="E94" s="5">
        <f>S99</f>
        <v>5</v>
      </c>
      <c r="F94" s="8" t="e">
        <f t="shared" si="7"/>
        <v>#REF!</v>
      </c>
      <c r="H94" s="5" t="s">
        <v>763</v>
      </c>
      <c r="I94" s="5" t="s">
        <v>755</v>
      </c>
      <c r="J94" s="5">
        <f>'[22]2021'!O55+'[22]2021'!P55</f>
        <v>0</v>
      </c>
      <c r="K94" s="5">
        <v>97</v>
      </c>
      <c r="L94" s="603" t="s">
        <v>755</v>
      </c>
      <c r="M94" s="5"/>
      <c r="N94" s="605">
        <v>98</v>
      </c>
      <c r="O94" s="605">
        <v>98</v>
      </c>
      <c r="P94" s="605">
        <v>0</v>
      </c>
      <c r="Q94" s="605">
        <v>0</v>
      </c>
      <c r="R94" s="605">
        <v>0</v>
      </c>
      <c r="S94" s="605">
        <v>3</v>
      </c>
    </row>
    <row r="95" spans="2:19" x14ac:dyDescent="0.25">
      <c r="B95" s="68">
        <v>9257015</v>
      </c>
      <c r="C95" s="68" t="s">
        <v>72</v>
      </c>
      <c r="D95" s="8" t="e">
        <f>VLOOKUP(#REF!,#REF!,23,FALSE)</f>
        <v>#REF!</v>
      </c>
      <c r="E95" s="5">
        <f>S96</f>
        <v>0</v>
      </c>
      <c r="F95" s="8" t="e">
        <f t="shared" si="7"/>
        <v>#REF!</v>
      </c>
      <c r="H95" s="5"/>
      <c r="I95" s="5"/>
      <c r="J95" s="5"/>
      <c r="K95" s="5"/>
      <c r="L95" s="5"/>
      <c r="M95" s="5"/>
      <c r="N95" s="5"/>
      <c r="O95" s="5"/>
      <c r="P95" s="5"/>
      <c r="Q95" s="5"/>
      <c r="R95" s="5"/>
      <c r="S95" s="5"/>
    </row>
    <row r="96" spans="2:19" ht="14.5" x14ac:dyDescent="0.35">
      <c r="B96" s="68">
        <v>9257016</v>
      </c>
      <c r="C96" s="68" t="s">
        <v>73</v>
      </c>
      <c r="D96" s="8" t="e">
        <f>VLOOKUP(#REF!,#REF!,23,FALSE)</f>
        <v>#REF!</v>
      </c>
      <c r="E96" s="5">
        <f>S97</f>
        <v>3</v>
      </c>
      <c r="F96" s="8" t="e">
        <f t="shared" si="7"/>
        <v>#REF!</v>
      </c>
      <c r="H96" s="5" t="s">
        <v>764</v>
      </c>
      <c r="I96" s="5" t="s">
        <v>755</v>
      </c>
      <c r="J96" s="5">
        <f>'[22]2021'!O57+'[22]2021'!P57</f>
        <v>0</v>
      </c>
      <c r="K96" s="5">
        <v>226</v>
      </c>
      <c r="L96" s="603" t="s">
        <v>755</v>
      </c>
      <c r="M96" s="5"/>
      <c r="N96" s="5">
        <v>226</v>
      </c>
      <c r="O96" s="605">
        <v>223</v>
      </c>
      <c r="P96" s="605">
        <v>3</v>
      </c>
      <c r="Q96" s="605">
        <v>0</v>
      </c>
      <c r="R96" s="605">
        <v>0</v>
      </c>
      <c r="S96" s="605">
        <v>0</v>
      </c>
    </row>
    <row r="97" spans="5:19" x14ac:dyDescent="0.25">
      <c r="H97" s="5" t="s">
        <v>765</v>
      </c>
      <c r="I97" s="5" t="s">
        <v>755</v>
      </c>
      <c r="J97" s="5">
        <f>'[22]2021'!O58+'[22]2021'!P58</f>
        <v>0</v>
      </c>
      <c r="K97" s="5">
        <v>164</v>
      </c>
      <c r="L97" s="603" t="s">
        <v>755</v>
      </c>
      <c r="M97" s="5"/>
      <c r="N97" s="5">
        <v>164</v>
      </c>
      <c r="O97" s="5">
        <v>105</v>
      </c>
      <c r="P97" s="5">
        <v>59</v>
      </c>
      <c r="Q97" s="5">
        <v>0</v>
      </c>
      <c r="R97" s="5">
        <v>0</v>
      </c>
      <c r="S97" s="5">
        <v>3</v>
      </c>
    </row>
    <row r="98" spans="5:19" ht="13" x14ac:dyDescent="0.3">
      <c r="E98" s="165">
        <f>SUM(E79:E97)</f>
        <v>92</v>
      </c>
      <c r="F98" s="345" t="e">
        <f>SUM(F79:F97)</f>
        <v>#REF!</v>
      </c>
      <c r="H98" s="5"/>
      <c r="I98" s="5"/>
      <c r="J98" s="5"/>
      <c r="K98" s="5"/>
      <c r="L98" s="5"/>
      <c r="M98" s="5"/>
      <c r="N98" s="5"/>
      <c r="O98" s="5"/>
      <c r="P98" s="5"/>
      <c r="Q98" s="5"/>
      <c r="R98" s="5"/>
      <c r="S98" s="5"/>
    </row>
    <row r="99" spans="5:19" x14ac:dyDescent="0.25">
      <c r="H99" s="5" t="s">
        <v>766</v>
      </c>
      <c r="I99" s="5" t="s">
        <v>755</v>
      </c>
      <c r="J99" s="5">
        <f>'[22]2021'!O60+'[22]2021'!P60</f>
        <v>0</v>
      </c>
      <c r="K99" s="5">
        <v>169</v>
      </c>
      <c r="L99" s="603" t="s">
        <v>755</v>
      </c>
      <c r="M99" s="5"/>
      <c r="N99" s="5">
        <v>169</v>
      </c>
      <c r="O99" s="5">
        <v>169</v>
      </c>
      <c r="P99" s="5">
        <v>0</v>
      </c>
      <c r="Q99" s="5">
        <v>0</v>
      </c>
      <c r="R99" s="5">
        <v>0</v>
      </c>
      <c r="S99" s="5">
        <v>5</v>
      </c>
    </row>
    <row r="100" spans="5:19" x14ac:dyDescent="0.25">
      <c r="H100" s="5" t="s">
        <v>767</v>
      </c>
      <c r="I100" s="5" t="s">
        <v>755</v>
      </c>
      <c r="J100" s="5">
        <f>'[22]2021'!O61+'[22]2021'!P61</f>
        <v>0</v>
      </c>
      <c r="K100" s="5">
        <v>78</v>
      </c>
      <c r="L100" s="603" t="s">
        <v>755</v>
      </c>
      <c r="M100" s="5"/>
      <c r="N100" s="5">
        <v>78</v>
      </c>
      <c r="O100" s="5">
        <v>54</v>
      </c>
      <c r="P100" s="5">
        <v>24</v>
      </c>
      <c r="Q100" s="5">
        <v>0</v>
      </c>
      <c r="R100" s="5">
        <v>0</v>
      </c>
      <c r="S100" s="5">
        <v>1</v>
      </c>
    </row>
    <row r="101" spans="5:19" x14ac:dyDescent="0.25">
      <c r="H101" s="5"/>
      <c r="I101" s="5"/>
      <c r="J101" s="5"/>
      <c r="K101" s="5"/>
      <c r="L101" s="5"/>
      <c r="M101" s="5"/>
      <c r="N101" s="5"/>
      <c r="O101" s="5"/>
      <c r="P101" s="5"/>
      <c r="Q101" s="5"/>
      <c r="R101" s="5"/>
      <c r="S101" s="5"/>
    </row>
    <row r="102" spans="5:19" ht="14.5" x14ac:dyDescent="0.35">
      <c r="H102" s="5" t="s">
        <v>768</v>
      </c>
      <c r="I102" s="5" t="s">
        <v>755</v>
      </c>
      <c r="J102" s="5">
        <f>'[22]2021'!O63+'[22]2021'!P63</f>
        <v>0</v>
      </c>
      <c r="K102" s="5">
        <v>111</v>
      </c>
      <c r="L102" s="603" t="s">
        <v>756</v>
      </c>
      <c r="M102" s="5"/>
      <c r="N102" s="605">
        <v>122</v>
      </c>
      <c r="O102" s="606">
        <v>106</v>
      </c>
      <c r="P102" s="606">
        <v>5</v>
      </c>
      <c r="Q102" s="606">
        <v>11</v>
      </c>
      <c r="R102" s="606">
        <v>0</v>
      </c>
      <c r="S102" s="5">
        <v>10</v>
      </c>
    </row>
    <row r="103" spans="5:19" x14ac:dyDescent="0.25">
      <c r="H103" s="5"/>
      <c r="I103" s="5"/>
      <c r="J103" s="5"/>
      <c r="K103" s="5"/>
      <c r="L103" s="5"/>
      <c r="M103" s="5"/>
      <c r="N103" s="5"/>
      <c r="O103" s="5"/>
      <c r="P103" s="5"/>
      <c r="Q103" s="5"/>
      <c r="R103" s="5"/>
      <c r="S103" s="5"/>
    </row>
    <row r="104" spans="5:19" x14ac:dyDescent="0.25">
      <c r="H104" s="5" t="s">
        <v>769</v>
      </c>
      <c r="I104" s="5" t="s">
        <v>755</v>
      </c>
      <c r="J104" s="5">
        <f>'[22]2021'!O65+'[22]2021'!P65</f>
        <v>0</v>
      </c>
      <c r="K104" s="5">
        <v>78</v>
      </c>
      <c r="L104" s="603" t="s">
        <v>755</v>
      </c>
      <c r="M104" s="5"/>
      <c r="N104" s="5">
        <v>78</v>
      </c>
      <c r="O104" s="5">
        <v>70</v>
      </c>
      <c r="P104" s="5">
        <v>0</v>
      </c>
      <c r="Q104" s="5">
        <v>8</v>
      </c>
      <c r="R104" s="5">
        <v>0</v>
      </c>
      <c r="S104" s="5">
        <v>1</v>
      </c>
    </row>
    <row r="105" spans="5:19" x14ac:dyDescent="0.25">
      <c r="H105" s="5"/>
      <c r="I105" s="5"/>
      <c r="J105" s="5"/>
      <c r="K105" s="5"/>
      <c r="L105" s="5"/>
      <c r="M105" s="5"/>
      <c r="N105" s="5"/>
      <c r="O105" s="5"/>
      <c r="P105" s="5"/>
      <c r="Q105" s="5"/>
      <c r="R105" s="5"/>
      <c r="S105" s="5"/>
    </row>
    <row r="106" spans="5:19" x14ac:dyDescent="0.25">
      <c r="H106" s="5" t="s">
        <v>770</v>
      </c>
      <c r="I106" s="5" t="s">
        <v>755</v>
      </c>
      <c r="J106" s="5">
        <f>'[22]2021'!O67+'[22]2021'!P67</f>
        <v>0</v>
      </c>
      <c r="K106" s="5">
        <v>84</v>
      </c>
      <c r="L106" s="603" t="s">
        <v>755</v>
      </c>
      <c r="M106" s="5"/>
      <c r="N106" s="5">
        <v>84</v>
      </c>
      <c r="O106" s="5">
        <v>71</v>
      </c>
      <c r="P106" s="5">
        <v>13</v>
      </c>
      <c r="Q106" s="5">
        <v>0</v>
      </c>
      <c r="R106" s="5">
        <v>0</v>
      </c>
      <c r="S106" s="5">
        <v>1</v>
      </c>
    </row>
    <row r="107" spans="5:19" x14ac:dyDescent="0.25">
      <c r="H107" s="5"/>
      <c r="I107" s="5"/>
      <c r="J107" s="5"/>
      <c r="K107" s="5"/>
      <c r="L107" s="5"/>
      <c r="M107" s="5"/>
      <c r="N107" s="5"/>
      <c r="O107" s="5"/>
      <c r="P107" s="5"/>
      <c r="Q107" s="5"/>
      <c r="R107" s="5"/>
      <c r="S107" s="5"/>
    </row>
    <row r="108" spans="5:19" ht="14.5" x14ac:dyDescent="0.35">
      <c r="H108" s="5" t="s">
        <v>771</v>
      </c>
      <c r="I108" s="5" t="s">
        <v>755</v>
      </c>
      <c r="J108" s="5">
        <f>'[22]2021'!O69+'[22]2021'!P69</f>
        <v>0</v>
      </c>
      <c r="K108" s="5">
        <v>151</v>
      </c>
      <c r="L108" s="603" t="s">
        <v>755</v>
      </c>
      <c r="M108" s="5"/>
      <c r="N108" s="5">
        <v>151</v>
      </c>
      <c r="O108" s="605">
        <v>151</v>
      </c>
      <c r="P108" s="605">
        <v>0</v>
      </c>
      <c r="Q108" s="605">
        <v>0</v>
      </c>
      <c r="R108" s="605">
        <v>0</v>
      </c>
      <c r="S108" s="605">
        <v>10</v>
      </c>
    </row>
    <row r="109" spans="5:19" x14ac:dyDescent="0.25">
      <c r="H109" s="5"/>
      <c r="I109" s="5"/>
      <c r="J109" s="5"/>
      <c r="K109" s="5"/>
      <c r="L109" s="5"/>
      <c r="M109" s="5"/>
      <c r="N109" s="5"/>
      <c r="O109" s="5"/>
      <c r="P109" s="5"/>
      <c r="Q109" s="5"/>
      <c r="R109" s="5"/>
      <c r="S109" s="5"/>
    </row>
    <row r="110" spans="5:19" ht="14.5" x14ac:dyDescent="0.35">
      <c r="H110" s="5" t="s">
        <v>772</v>
      </c>
      <c r="I110" s="5" t="s">
        <v>755</v>
      </c>
      <c r="J110" s="5">
        <f>'[22]2021'!O71+'[22]2021'!P71</f>
        <v>0</v>
      </c>
      <c r="K110" s="5">
        <v>85</v>
      </c>
      <c r="L110" s="603" t="s">
        <v>755</v>
      </c>
      <c r="M110" s="5"/>
      <c r="N110" s="5">
        <v>86</v>
      </c>
      <c r="O110" s="605">
        <v>58</v>
      </c>
      <c r="P110" s="605">
        <v>28</v>
      </c>
      <c r="Q110" s="605">
        <v>0</v>
      </c>
      <c r="R110" s="605">
        <v>0</v>
      </c>
      <c r="S110" s="605">
        <v>6</v>
      </c>
    </row>
    <row r="111" spans="5:19" x14ac:dyDescent="0.25">
      <c r="H111" s="5"/>
      <c r="I111" s="5"/>
      <c r="J111" s="5"/>
      <c r="K111" s="5"/>
      <c r="L111" s="5"/>
      <c r="M111" s="5"/>
      <c r="N111" s="5"/>
      <c r="O111" s="5"/>
      <c r="P111" s="5"/>
      <c r="Q111" s="5"/>
      <c r="R111" s="5"/>
      <c r="S111" s="5"/>
    </row>
    <row r="112" spans="5:19" ht="13" x14ac:dyDescent="0.3">
      <c r="H112" s="5"/>
      <c r="I112" s="5"/>
      <c r="J112" s="6">
        <f>SUM(J82:J110)</f>
        <v>0</v>
      </c>
      <c r="K112" s="6">
        <f>SUM(K82:K110)</f>
        <v>1977</v>
      </c>
      <c r="L112" s="6"/>
      <c r="M112" s="6"/>
      <c r="N112" s="6">
        <f>SUM(N82:N110)</f>
        <v>2026</v>
      </c>
      <c r="O112" s="6">
        <f>SUM(O82:O110)</f>
        <v>1782</v>
      </c>
      <c r="P112" s="6">
        <f>SUM(P82:P110)</f>
        <v>182</v>
      </c>
      <c r="Q112" s="6">
        <f>SUM(Q82:Q110)</f>
        <v>62</v>
      </c>
      <c r="R112" s="6">
        <v>0</v>
      </c>
      <c r="S112" s="6">
        <f>SUM(S82:S110)</f>
        <v>92</v>
      </c>
    </row>
  </sheetData>
  <pageMargins left="0.7" right="0.7" top="0.75" bottom="0.75" header="0.3" footer="0.3"/>
  <pageSetup orientation="portrait" horizontalDpi="90" verticalDpi="90" r:id="rId1"/>
  <ignoredErrors>
    <ignoredError sqref="N5:N35" formulaRange="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F138-C4EB-4946-8AD6-EAF54650650D}">
  <sheetPr>
    <tabColor rgb="FFFFC000"/>
  </sheetPr>
  <dimension ref="B2:S76"/>
  <sheetViews>
    <sheetView workbookViewId="0">
      <selection activeCell="D23" sqref="D23"/>
    </sheetView>
  </sheetViews>
  <sheetFormatPr defaultColWidth="8.7265625" defaultRowHeight="12.5" x14ac:dyDescent="0.25"/>
  <cols>
    <col min="1" max="1" width="8.7265625" style="2"/>
    <col min="2" max="2" width="7.81640625" style="2" bestFit="1" customWidth="1"/>
    <col min="3" max="3" width="24.453125" style="2" bestFit="1" customWidth="1"/>
    <col min="4" max="4" width="10.81640625" style="2" bestFit="1" customWidth="1"/>
    <col min="5" max="5" width="15.54296875" style="2" bestFit="1" customWidth="1"/>
    <col min="6" max="6" width="10.81640625" style="2" bestFit="1" customWidth="1"/>
    <col min="7" max="7" width="8.7265625" style="2"/>
    <col min="8" max="8" width="13.54296875" style="2" bestFit="1" customWidth="1"/>
    <col min="9" max="9" width="16.1796875" style="2" bestFit="1" customWidth="1"/>
    <col min="10" max="10" width="12.453125" style="2" bestFit="1" customWidth="1"/>
    <col min="11" max="11" width="8.7265625" style="2"/>
    <col min="12" max="12" width="18.26953125" style="2" bestFit="1" customWidth="1"/>
    <col min="13" max="13" width="8.7265625" style="2"/>
    <col min="14" max="14" width="18.36328125" style="2" bestFit="1" customWidth="1"/>
    <col min="15" max="16384" width="8.7265625" style="2"/>
  </cols>
  <sheetData>
    <row r="2" spans="2:19" ht="13" x14ac:dyDescent="0.3">
      <c r="B2" s="165" t="s">
        <v>912</v>
      </c>
    </row>
    <row r="4" spans="2:19" ht="26" x14ac:dyDescent="0.35">
      <c r="B4" s="638" t="s">
        <v>48</v>
      </c>
      <c r="C4" s="639" t="s">
        <v>49</v>
      </c>
      <c r="D4" s="5" t="s">
        <v>745</v>
      </c>
      <c r="E4" s="69" t="s">
        <v>746</v>
      </c>
      <c r="F4" s="69" t="s">
        <v>289</v>
      </c>
      <c r="H4" s="343" t="s">
        <v>49</v>
      </c>
      <c r="I4" s="343" t="s">
        <v>747</v>
      </c>
      <c r="J4" s="343" t="s">
        <v>913</v>
      </c>
      <c r="K4" s="343" t="s">
        <v>749</v>
      </c>
      <c r="L4" s="343" t="s">
        <v>750</v>
      </c>
      <c r="M4" s="343"/>
      <c r="N4" s="343" t="s">
        <v>751</v>
      </c>
      <c r="O4" s="343" t="s">
        <v>101</v>
      </c>
      <c r="P4" s="343" t="s">
        <v>752</v>
      </c>
      <c r="Q4" s="344" t="s">
        <v>101</v>
      </c>
      <c r="R4" s="344" t="s">
        <v>88</v>
      </c>
      <c r="S4" s="343" t="s">
        <v>753</v>
      </c>
    </row>
    <row r="5" spans="2:19" x14ac:dyDescent="0.25">
      <c r="B5" s="68">
        <v>9257010</v>
      </c>
      <c r="C5" s="68" t="s">
        <v>439</v>
      </c>
      <c r="D5" s="8">
        <f>VLOOKUP('2425 OLEA Placements'!B5,'2425 Funding Detail'!$A$4:$Y$20,24,FALSE)</f>
        <v>8504.6740853654846</v>
      </c>
      <c r="E5" s="5">
        <f>S6</f>
        <v>3</v>
      </c>
      <c r="F5" s="8">
        <f>D5*E5</f>
        <v>25514.022256096454</v>
      </c>
      <c r="H5" s="5"/>
      <c r="I5" s="5"/>
      <c r="J5" s="5"/>
      <c r="K5" s="5"/>
      <c r="L5" s="603"/>
      <c r="M5" s="5"/>
      <c r="N5" s="5"/>
      <c r="O5" s="5"/>
      <c r="P5" s="5"/>
      <c r="Q5" s="5"/>
      <c r="R5" s="5"/>
      <c r="S5" s="5"/>
    </row>
    <row r="6" spans="2:19" x14ac:dyDescent="0.25">
      <c r="B6" s="68">
        <v>9257005</v>
      </c>
      <c r="C6" s="68" t="s">
        <v>63</v>
      </c>
      <c r="D6" s="8">
        <f>VLOOKUP('2425 OLEA Placements'!B6,'2425 Funding Detail'!$A$4:$Y$20,24,FALSE)</f>
        <v>13822.127530785594</v>
      </c>
      <c r="E6" s="5">
        <f>S35</f>
        <v>7</v>
      </c>
      <c r="F6" s="8">
        <f t="shared" ref="F6:F21" si="0">D6*E6</f>
        <v>96754.892715499154</v>
      </c>
      <c r="H6" s="5" t="s">
        <v>776</v>
      </c>
      <c r="I6" s="5" t="s">
        <v>755</v>
      </c>
      <c r="J6" s="5">
        <v>147</v>
      </c>
      <c r="K6" s="5">
        <v>149</v>
      </c>
      <c r="L6" s="603" t="s">
        <v>755</v>
      </c>
      <c r="M6" s="5"/>
      <c r="N6" s="5">
        <v>153</v>
      </c>
      <c r="O6" s="5">
        <v>128</v>
      </c>
      <c r="P6" s="5">
        <v>25</v>
      </c>
      <c r="Q6" s="5">
        <v>0</v>
      </c>
      <c r="R6" s="5">
        <v>0</v>
      </c>
      <c r="S6" s="5">
        <v>3</v>
      </c>
    </row>
    <row r="7" spans="2:19" x14ac:dyDescent="0.25">
      <c r="B7" s="68">
        <v>9257025</v>
      </c>
      <c r="C7" s="68" t="s">
        <v>64</v>
      </c>
      <c r="D7" s="8">
        <f>VLOOKUP('2425 OLEA Placements'!B7,'2425 Funding Detail'!$A$4:$Y$20,24,FALSE)</f>
        <v>6428.5804190394701</v>
      </c>
      <c r="E7" s="5">
        <f>S25</f>
        <v>5</v>
      </c>
      <c r="F7" s="8">
        <f t="shared" si="0"/>
        <v>32142.902095197351</v>
      </c>
      <c r="H7" s="5"/>
      <c r="I7" s="5"/>
      <c r="J7" s="5"/>
      <c r="K7" s="5"/>
      <c r="L7" s="603"/>
      <c r="M7" s="5"/>
      <c r="N7" s="5"/>
      <c r="O7" s="5"/>
      <c r="P7" s="5"/>
      <c r="Q7" s="5"/>
      <c r="R7" s="5"/>
      <c r="S7" s="5"/>
    </row>
    <row r="8" spans="2:19" x14ac:dyDescent="0.25">
      <c r="B8" s="68">
        <v>9257024</v>
      </c>
      <c r="C8" s="68" t="s">
        <v>66</v>
      </c>
      <c r="D8" s="8">
        <f>VLOOKUP('2425 OLEA Placements'!B8,'2425 Funding Detail'!$A$4:$Y$20,24,FALSE)</f>
        <v>7003.8076037704741</v>
      </c>
      <c r="E8" s="5">
        <f>S31</f>
        <v>1</v>
      </c>
      <c r="F8" s="8">
        <f t="shared" si="0"/>
        <v>7003.8076037704741</v>
      </c>
      <c r="H8" s="5" t="s">
        <v>777</v>
      </c>
      <c r="I8" s="5" t="s">
        <v>755</v>
      </c>
      <c r="J8" s="5">
        <v>212</v>
      </c>
      <c r="K8" s="5">
        <v>216</v>
      </c>
      <c r="L8" s="5" t="s">
        <v>755</v>
      </c>
      <c r="M8" s="5"/>
      <c r="N8" s="5">
        <v>216</v>
      </c>
      <c r="O8" s="5">
        <v>197</v>
      </c>
      <c r="P8" s="5">
        <v>19</v>
      </c>
      <c r="Q8" s="5">
        <v>0</v>
      </c>
      <c r="R8" s="5">
        <v>0</v>
      </c>
      <c r="S8" s="5">
        <v>15</v>
      </c>
    </row>
    <row r="9" spans="2:19" x14ac:dyDescent="0.25">
      <c r="B9" s="68">
        <v>9257031</v>
      </c>
      <c r="C9" s="68" t="s">
        <v>84</v>
      </c>
      <c r="D9" s="8">
        <f>VLOOKUP('2425 OLEA Placements'!B9,'2425 Funding Detail'!$A$4:$Y$20,24,FALSE)</f>
        <v>12927.501554404145</v>
      </c>
      <c r="E9" s="5">
        <f>S12</f>
        <v>6</v>
      </c>
      <c r="F9" s="8">
        <f t="shared" si="0"/>
        <v>77565.009326424872</v>
      </c>
      <c r="H9" s="5"/>
      <c r="I9" s="5"/>
      <c r="J9" s="5"/>
      <c r="K9" s="5"/>
      <c r="L9" s="603"/>
      <c r="M9" s="5"/>
      <c r="N9" s="5"/>
      <c r="O9" s="5"/>
      <c r="P9" s="5"/>
      <c r="Q9" s="5"/>
      <c r="R9" s="5"/>
      <c r="S9" s="5"/>
    </row>
    <row r="10" spans="2:19" x14ac:dyDescent="0.25">
      <c r="B10" s="68">
        <v>9257033</v>
      </c>
      <c r="C10" s="68" t="s">
        <v>74</v>
      </c>
      <c r="D10" s="8">
        <f>VLOOKUP('2425 OLEA Placements'!B10,'2425 Funding Detail'!$A$4:$Y$20,24,FALSE)</f>
        <v>5235.2022241930426</v>
      </c>
      <c r="E10" s="5">
        <f>S18</f>
        <v>3</v>
      </c>
      <c r="F10" s="8">
        <f t="shared" si="0"/>
        <v>15705.606672579128</v>
      </c>
      <c r="H10" s="5" t="s">
        <v>759</v>
      </c>
      <c r="I10" s="5" t="s">
        <v>755</v>
      </c>
      <c r="J10" s="5">
        <v>70</v>
      </c>
      <c r="K10" s="5">
        <v>71</v>
      </c>
      <c r="L10" s="5" t="s">
        <v>755</v>
      </c>
      <c r="M10" s="5"/>
      <c r="N10" s="5">
        <v>76</v>
      </c>
      <c r="O10" s="5">
        <v>76</v>
      </c>
      <c r="P10" s="5">
        <v>0</v>
      </c>
      <c r="Q10" s="5">
        <v>0</v>
      </c>
      <c r="R10" s="5">
        <v>0</v>
      </c>
      <c r="S10" s="5">
        <v>3</v>
      </c>
    </row>
    <row r="11" spans="2:19" x14ac:dyDescent="0.25">
      <c r="B11" s="68">
        <v>9257008</v>
      </c>
      <c r="C11" s="68" t="s">
        <v>67</v>
      </c>
      <c r="D11" s="8">
        <f>VLOOKUP('2425 OLEA Placements'!B11,'2425 Funding Detail'!$A$4:$Y$20,24,FALSE)</f>
        <v>5818.1623762376221</v>
      </c>
      <c r="E11" s="5">
        <f>S15</f>
        <v>0</v>
      </c>
      <c r="F11" s="8">
        <f t="shared" si="0"/>
        <v>0</v>
      </c>
      <c r="H11" s="5"/>
      <c r="I11" s="5"/>
      <c r="J11" s="5"/>
      <c r="K11" s="5"/>
      <c r="L11" s="603"/>
      <c r="M11" s="5"/>
      <c r="N11" s="5"/>
      <c r="O11" s="5"/>
      <c r="P11" s="5"/>
      <c r="Q11" s="5"/>
      <c r="R11" s="5"/>
      <c r="S11" s="5"/>
    </row>
    <row r="12" spans="2:19" x14ac:dyDescent="0.25">
      <c r="B12" s="68">
        <v>9257034</v>
      </c>
      <c r="C12" s="68" t="s">
        <v>75</v>
      </c>
      <c r="D12" s="8">
        <f>VLOOKUP('2425 OLEA Placements'!B12,'2425 Funding Detail'!$A$4:$Y$20,24,FALSE)</f>
        <v>4769.6495311012623</v>
      </c>
      <c r="E12" s="5">
        <f>S17</f>
        <v>11</v>
      </c>
      <c r="F12" s="8">
        <f t="shared" si="0"/>
        <v>52466.144842113885</v>
      </c>
      <c r="H12" s="5" t="s">
        <v>154</v>
      </c>
      <c r="I12" s="604" t="s">
        <v>755</v>
      </c>
      <c r="J12" s="5">
        <v>81</v>
      </c>
      <c r="K12" s="5">
        <v>78</v>
      </c>
      <c r="L12" s="603" t="s">
        <v>755</v>
      </c>
      <c r="M12" s="5"/>
      <c r="N12" s="5">
        <v>80</v>
      </c>
      <c r="O12" s="5">
        <v>80</v>
      </c>
      <c r="P12" s="5">
        <v>0</v>
      </c>
      <c r="Q12" s="5">
        <v>0</v>
      </c>
      <c r="R12" s="5">
        <v>0</v>
      </c>
      <c r="S12" s="5">
        <v>6</v>
      </c>
    </row>
    <row r="13" spans="2:19" x14ac:dyDescent="0.25">
      <c r="B13" s="68">
        <v>9257002</v>
      </c>
      <c r="C13" s="68" t="s">
        <v>68</v>
      </c>
      <c r="D13" s="8">
        <f>VLOOKUP('2425 OLEA Placements'!B13,'2425 Funding Detail'!$A$4:$Y$20,24,FALSE)</f>
        <v>4755.1610707107611</v>
      </c>
      <c r="E13" s="5">
        <f>S33</f>
        <v>14</v>
      </c>
      <c r="F13" s="8">
        <f t="shared" si="0"/>
        <v>66572.254989950656</v>
      </c>
      <c r="H13" s="5" t="s">
        <v>760</v>
      </c>
      <c r="I13" s="5" t="s">
        <v>755</v>
      </c>
      <c r="J13" s="5">
        <v>115</v>
      </c>
      <c r="K13" s="5">
        <v>115</v>
      </c>
      <c r="L13" s="5" t="s">
        <v>755</v>
      </c>
      <c r="M13" s="5"/>
      <c r="N13" s="5">
        <v>115</v>
      </c>
      <c r="O13" s="5">
        <v>115</v>
      </c>
      <c r="P13" s="5">
        <v>0</v>
      </c>
      <c r="Q13" s="5">
        <v>0</v>
      </c>
      <c r="R13" s="5">
        <v>0</v>
      </c>
      <c r="S13" s="5">
        <v>9</v>
      </c>
    </row>
    <row r="14" spans="2:19" x14ac:dyDescent="0.25">
      <c r="B14" s="68">
        <v>9257009</v>
      </c>
      <c r="C14" s="68" t="s">
        <v>334</v>
      </c>
      <c r="D14" s="8">
        <f>VLOOKUP('2425 OLEA Placements'!B14,'2425 Funding Detail'!$A$4:$Y$20,24,FALSE)</f>
        <v>5307.6534584227447</v>
      </c>
      <c r="E14" s="5">
        <f>S8</f>
        <v>15</v>
      </c>
      <c r="F14" s="8">
        <f t="shared" si="0"/>
        <v>79614.801876341167</v>
      </c>
      <c r="H14" s="5"/>
      <c r="I14" s="5"/>
      <c r="J14" s="5"/>
      <c r="K14" s="5"/>
      <c r="L14" s="603"/>
      <c r="M14" s="5"/>
      <c r="N14" s="5"/>
      <c r="O14" s="5"/>
      <c r="P14" s="5"/>
      <c r="Q14" s="5"/>
      <c r="R14" s="5"/>
      <c r="S14" s="5"/>
    </row>
    <row r="15" spans="2:19" x14ac:dyDescent="0.25">
      <c r="B15" s="68">
        <v>9257029</v>
      </c>
      <c r="C15" s="68" t="s">
        <v>278</v>
      </c>
      <c r="D15" s="8">
        <f>VLOOKUP('2425 OLEA Placements'!B15,'2425 Funding Detail'!$A$4:$Y$20,24,FALSE)</f>
        <v>12911.190712074302</v>
      </c>
      <c r="E15" s="5">
        <f>S29</f>
        <v>5</v>
      </c>
      <c r="F15" s="8">
        <f t="shared" si="0"/>
        <v>64555.953560371505</v>
      </c>
      <c r="H15" s="5" t="s">
        <v>761</v>
      </c>
      <c r="I15" s="5" t="s">
        <v>755</v>
      </c>
      <c r="J15" s="5">
        <v>101</v>
      </c>
      <c r="K15" s="5">
        <v>101</v>
      </c>
      <c r="L15" s="5" t="s">
        <v>755</v>
      </c>
      <c r="M15" s="5"/>
      <c r="N15" s="5">
        <v>101</v>
      </c>
      <c r="O15" s="5">
        <v>101</v>
      </c>
      <c r="P15" s="5">
        <v>0</v>
      </c>
      <c r="Q15" s="5">
        <v>0</v>
      </c>
      <c r="R15" s="5">
        <v>0</v>
      </c>
      <c r="S15" s="5">
        <v>0</v>
      </c>
    </row>
    <row r="16" spans="2:19" ht="14.5" x14ac:dyDescent="0.35">
      <c r="B16" s="68">
        <v>9257032</v>
      </c>
      <c r="C16" s="68" t="s">
        <v>380</v>
      </c>
      <c r="D16" s="8">
        <f>VLOOKUP('2425 OLEA Placements'!B16,'2425 Funding Detail'!$A$4:$Y$20,24,FALSE)</f>
        <v>10609.75304347826</v>
      </c>
      <c r="E16" s="5">
        <f>S13</f>
        <v>9</v>
      </c>
      <c r="F16" s="8">
        <f t="shared" si="0"/>
        <v>95487.777391304349</v>
      </c>
      <c r="H16" s="5"/>
      <c r="I16" s="5"/>
      <c r="J16" s="605"/>
      <c r="K16" s="5"/>
      <c r="L16" s="603"/>
      <c r="M16" s="5"/>
      <c r="N16" s="5"/>
      <c r="O16" s="605"/>
      <c r="P16" s="605"/>
      <c r="Q16" s="605"/>
      <c r="R16" s="605"/>
      <c r="S16" s="605"/>
    </row>
    <row r="17" spans="2:19" ht="14.5" x14ac:dyDescent="0.35">
      <c r="B17" s="68">
        <v>9257030</v>
      </c>
      <c r="C17" s="68" t="s">
        <v>383</v>
      </c>
      <c r="D17" s="8">
        <f>VLOOKUP('2425 OLEA Placements'!B17,'2425 Funding Detail'!$A$4:$Y$20,24,FALSE)</f>
        <v>13152.760544217686</v>
      </c>
      <c r="E17" s="5">
        <f>S10</f>
        <v>3</v>
      </c>
      <c r="F17" s="8">
        <f t="shared" si="0"/>
        <v>39458.281632653059</v>
      </c>
      <c r="H17" s="5" t="s">
        <v>762</v>
      </c>
      <c r="I17" s="5" t="s">
        <v>755</v>
      </c>
      <c r="J17" s="605">
        <v>132</v>
      </c>
      <c r="K17" s="5">
        <v>141</v>
      </c>
      <c r="L17" s="603" t="s">
        <v>755</v>
      </c>
      <c r="M17" s="5"/>
      <c r="N17" s="605">
        <v>141</v>
      </c>
      <c r="O17" s="605">
        <v>113</v>
      </c>
      <c r="P17" s="605">
        <v>28</v>
      </c>
      <c r="Q17" s="605">
        <v>0</v>
      </c>
      <c r="R17" s="605">
        <v>0</v>
      </c>
      <c r="S17" s="605">
        <v>11</v>
      </c>
    </row>
    <row r="18" spans="2:19" ht="14.5" x14ac:dyDescent="0.35">
      <c r="B18" s="68">
        <v>9257028</v>
      </c>
      <c r="C18" s="68" t="s">
        <v>70</v>
      </c>
      <c r="D18" s="8">
        <f>VLOOKUP('2425 OLEA Placements'!B18,'2425 Funding Detail'!$A$4:$Y$20,24,FALSE)</f>
        <v>9967.203546949273</v>
      </c>
      <c r="E18" s="5">
        <f>S27</f>
        <v>12</v>
      </c>
      <c r="F18" s="8">
        <f t="shared" si="0"/>
        <v>119606.44256339128</v>
      </c>
      <c r="H18" s="5" t="s">
        <v>763</v>
      </c>
      <c r="I18" s="5" t="s">
        <v>755</v>
      </c>
      <c r="J18" s="605">
        <v>115</v>
      </c>
      <c r="K18" s="5">
        <v>116</v>
      </c>
      <c r="L18" s="603" t="s">
        <v>755</v>
      </c>
      <c r="M18" s="5"/>
      <c r="N18" s="5">
        <v>116</v>
      </c>
      <c r="O18" s="605">
        <v>116</v>
      </c>
      <c r="P18" s="605">
        <v>0</v>
      </c>
      <c r="Q18" s="605">
        <v>0</v>
      </c>
      <c r="R18" s="605">
        <v>0</v>
      </c>
      <c r="S18" s="605">
        <v>3</v>
      </c>
    </row>
    <row r="19" spans="2:19" x14ac:dyDescent="0.25">
      <c r="B19" s="68">
        <v>9257021</v>
      </c>
      <c r="C19" s="68" t="s">
        <v>71</v>
      </c>
      <c r="D19" s="8">
        <f>VLOOKUP('2425 OLEA Placements'!B19,'2425 Funding Detail'!$A$4:$Y$20,24,FALSE)</f>
        <v>4161.4783588020346</v>
      </c>
      <c r="E19" s="5">
        <f>S24</f>
        <v>6</v>
      </c>
      <c r="F19" s="8">
        <f t="shared" si="0"/>
        <v>24968.870152812207</v>
      </c>
      <c r="H19" s="5"/>
      <c r="I19" s="5"/>
      <c r="J19" s="5"/>
      <c r="K19" s="5"/>
      <c r="L19" s="5"/>
      <c r="M19" s="5"/>
      <c r="N19" s="5"/>
      <c r="O19" s="5"/>
      <c r="P19" s="5"/>
      <c r="Q19" s="5"/>
      <c r="R19" s="5"/>
      <c r="S19" s="5"/>
    </row>
    <row r="20" spans="2:19" ht="14.5" x14ac:dyDescent="0.35">
      <c r="B20" s="68">
        <v>9257015</v>
      </c>
      <c r="C20" s="68" t="s">
        <v>72</v>
      </c>
      <c r="D20" s="8">
        <f>VLOOKUP('2425 OLEA Placements'!B20,'2425 Funding Detail'!$A$4:$Y$20,24,FALSE)</f>
        <v>4294.0288555736224</v>
      </c>
      <c r="E20" s="5">
        <f>S20</f>
        <v>4</v>
      </c>
      <c r="F20" s="8">
        <f t="shared" si="0"/>
        <v>17176.11542229449</v>
      </c>
      <c r="H20" s="5" t="s">
        <v>764</v>
      </c>
      <c r="I20" s="5" t="s">
        <v>755</v>
      </c>
      <c r="J20" s="5">
        <v>240</v>
      </c>
      <c r="K20" s="5">
        <v>333</v>
      </c>
      <c r="L20" s="603" t="s">
        <v>755</v>
      </c>
      <c r="M20" s="5"/>
      <c r="N20" s="5">
        <v>333</v>
      </c>
      <c r="O20" s="605">
        <v>203</v>
      </c>
      <c r="P20" s="605">
        <v>33</v>
      </c>
      <c r="Q20" s="605">
        <v>97</v>
      </c>
      <c r="R20" s="605">
        <v>0</v>
      </c>
      <c r="S20" s="605">
        <v>4</v>
      </c>
    </row>
    <row r="21" spans="2:19" ht="14.5" x14ac:dyDescent="0.35">
      <c r="B21" s="68">
        <v>9257016</v>
      </c>
      <c r="C21" s="68" t="s">
        <v>73</v>
      </c>
      <c r="D21" s="8">
        <f>VLOOKUP('2425 OLEA Placements'!B21,'2425 Funding Detail'!$A$4:$Y$20,24,FALSE)</f>
        <v>10662.587136622245</v>
      </c>
      <c r="E21" s="5">
        <f>S22</f>
        <v>4</v>
      </c>
      <c r="F21" s="8">
        <f t="shared" si="0"/>
        <v>42650.348546488982</v>
      </c>
      <c r="H21" s="5"/>
      <c r="I21" s="5"/>
      <c r="J21" s="5"/>
      <c r="K21" s="5"/>
      <c r="L21" s="603"/>
      <c r="M21" s="5"/>
      <c r="N21" s="5"/>
      <c r="O21" s="605"/>
      <c r="P21" s="605"/>
      <c r="Q21" s="605"/>
      <c r="R21" s="605"/>
      <c r="S21" s="605"/>
    </row>
    <row r="22" spans="2:19" x14ac:dyDescent="0.25">
      <c r="H22" s="5" t="s">
        <v>765</v>
      </c>
      <c r="I22" s="5" t="s">
        <v>755</v>
      </c>
      <c r="J22" s="5">
        <v>165</v>
      </c>
      <c r="K22" s="5">
        <v>161</v>
      </c>
      <c r="L22" s="603" t="s">
        <v>755</v>
      </c>
      <c r="M22" s="5"/>
      <c r="N22" s="5">
        <v>165</v>
      </c>
      <c r="O22" s="5">
        <v>120</v>
      </c>
      <c r="P22" s="5">
        <v>45</v>
      </c>
      <c r="Q22" s="5">
        <v>0</v>
      </c>
      <c r="R22" s="5">
        <v>0</v>
      </c>
      <c r="S22" s="5">
        <v>4</v>
      </c>
    </row>
    <row r="23" spans="2:19" ht="13" x14ac:dyDescent="0.3">
      <c r="D23" s="24">
        <f>SUM(D5:D22)</f>
        <v>140331.522051748</v>
      </c>
      <c r="E23" s="3">
        <f>SUM(E5:E22)</f>
        <v>108</v>
      </c>
      <c r="F23" s="24">
        <f>SUM(F5:F22)</f>
        <v>857243.23164728913</v>
      </c>
      <c r="H23" s="5"/>
      <c r="I23" s="5"/>
      <c r="J23" s="5"/>
      <c r="K23" s="5"/>
      <c r="L23" s="5"/>
      <c r="M23" s="5"/>
      <c r="N23" s="5"/>
      <c r="O23" s="5"/>
      <c r="P23" s="5"/>
      <c r="Q23" s="5"/>
      <c r="R23" s="5"/>
      <c r="S23" s="5"/>
    </row>
    <row r="24" spans="2:19" x14ac:dyDescent="0.25">
      <c r="H24" s="5" t="s">
        <v>766</v>
      </c>
      <c r="I24" s="5" t="s">
        <v>755</v>
      </c>
      <c r="J24" s="5">
        <v>179</v>
      </c>
      <c r="K24" s="5">
        <v>196</v>
      </c>
      <c r="L24" s="603" t="s">
        <v>755</v>
      </c>
      <c r="M24" s="5"/>
      <c r="N24" s="5">
        <v>180</v>
      </c>
      <c r="O24" s="5">
        <v>180</v>
      </c>
      <c r="P24" s="5">
        <v>0</v>
      </c>
      <c r="Q24" s="5">
        <v>0</v>
      </c>
      <c r="R24" s="5">
        <v>0</v>
      </c>
      <c r="S24" s="5">
        <v>6</v>
      </c>
    </row>
    <row r="25" spans="2:19" x14ac:dyDescent="0.25">
      <c r="H25" s="5" t="s">
        <v>767</v>
      </c>
      <c r="I25" s="5" t="s">
        <v>755</v>
      </c>
      <c r="J25" s="5">
        <v>101</v>
      </c>
      <c r="K25" s="5">
        <v>101</v>
      </c>
      <c r="L25" s="603" t="s">
        <v>755</v>
      </c>
      <c r="M25" s="5"/>
      <c r="N25" s="5">
        <v>105</v>
      </c>
      <c r="O25" s="5">
        <v>79</v>
      </c>
      <c r="P25" s="5">
        <v>22</v>
      </c>
      <c r="Q25" s="5">
        <v>4</v>
      </c>
      <c r="R25" s="5">
        <v>0</v>
      </c>
      <c r="S25" s="5">
        <v>5</v>
      </c>
    </row>
    <row r="26" spans="2:19" x14ac:dyDescent="0.25">
      <c r="H26" s="5"/>
      <c r="I26" s="5"/>
      <c r="J26" s="5"/>
      <c r="K26" s="5"/>
      <c r="L26" s="5"/>
      <c r="M26" s="5"/>
      <c r="N26" s="5"/>
      <c r="O26" s="5"/>
      <c r="P26" s="5"/>
      <c r="Q26" s="5"/>
      <c r="R26" s="5"/>
      <c r="S26" s="5"/>
    </row>
    <row r="27" spans="2:19" ht="14.5" x14ac:dyDescent="0.35">
      <c r="H27" s="5" t="s">
        <v>768</v>
      </c>
      <c r="I27" s="5" t="s">
        <v>755</v>
      </c>
      <c r="J27" s="605">
        <v>141</v>
      </c>
      <c r="K27" s="5">
        <v>148</v>
      </c>
      <c r="L27" s="603" t="s">
        <v>755</v>
      </c>
      <c r="M27" s="5"/>
      <c r="N27" s="5">
        <v>145</v>
      </c>
      <c r="O27" s="606">
        <v>123</v>
      </c>
      <c r="P27" s="606">
        <v>18</v>
      </c>
      <c r="Q27" s="606">
        <v>4</v>
      </c>
      <c r="R27" s="606">
        <v>0</v>
      </c>
      <c r="S27" s="5">
        <v>12</v>
      </c>
    </row>
    <row r="28" spans="2:19" x14ac:dyDescent="0.25">
      <c r="H28" s="5"/>
      <c r="I28" s="5"/>
      <c r="J28" s="5"/>
      <c r="K28" s="5"/>
      <c r="L28" s="5"/>
      <c r="M28" s="5"/>
      <c r="N28" s="5"/>
      <c r="O28" s="5"/>
      <c r="P28" s="5"/>
      <c r="Q28" s="5"/>
      <c r="R28" s="5"/>
      <c r="S28" s="5"/>
    </row>
    <row r="29" spans="2:19" x14ac:dyDescent="0.25">
      <c r="H29" s="5" t="s">
        <v>769</v>
      </c>
      <c r="I29" s="5" t="s">
        <v>755</v>
      </c>
      <c r="J29" s="5">
        <v>79</v>
      </c>
      <c r="K29" s="5">
        <v>83</v>
      </c>
      <c r="L29" s="603" t="s">
        <v>755</v>
      </c>
      <c r="M29" s="5"/>
      <c r="N29" s="5">
        <v>82</v>
      </c>
      <c r="O29" s="5">
        <v>82</v>
      </c>
      <c r="P29" s="5">
        <v>0</v>
      </c>
      <c r="Q29" s="5">
        <v>0</v>
      </c>
      <c r="R29" s="5">
        <v>0</v>
      </c>
      <c r="S29" s="5">
        <v>5</v>
      </c>
    </row>
    <row r="30" spans="2:19" x14ac:dyDescent="0.25">
      <c r="H30" s="5"/>
      <c r="I30" s="5"/>
      <c r="J30" s="5"/>
      <c r="K30" s="5"/>
      <c r="L30" s="5"/>
      <c r="M30" s="5"/>
      <c r="N30" s="5"/>
      <c r="O30" s="5"/>
      <c r="P30" s="5"/>
      <c r="Q30" s="5"/>
      <c r="R30" s="5"/>
      <c r="S30" s="5"/>
    </row>
    <row r="31" spans="2:19" x14ac:dyDescent="0.25">
      <c r="H31" s="5" t="s">
        <v>770</v>
      </c>
      <c r="I31" s="5" t="s">
        <v>755</v>
      </c>
      <c r="J31" s="5">
        <v>96</v>
      </c>
      <c r="K31" s="5">
        <v>104</v>
      </c>
      <c r="L31" s="603" t="s">
        <v>755</v>
      </c>
      <c r="M31" s="5"/>
      <c r="N31" s="5">
        <v>100</v>
      </c>
      <c r="O31" s="5">
        <v>79</v>
      </c>
      <c r="P31" s="5">
        <v>17</v>
      </c>
      <c r="Q31" s="5">
        <v>4</v>
      </c>
      <c r="R31" s="5">
        <v>0</v>
      </c>
      <c r="S31" s="5">
        <v>1</v>
      </c>
    </row>
    <row r="32" spans="2:19" x14ac:dyDescent="0.25">
      <c r="H32" s="5"/>
      <c r="I32" s="5"/>
      <c r="J32" s="5"/>
      <c r="K32" s="5"/>
      <c r="L32" s="5"/>
      <c r="M32" s="5"/>
      <c r="N32" s="5"/>
      <c r="O32" s="5"/>
      <c r="P32" s="5"/>
      <c r="Q32" s="5"/>
      <c r="R32" s="5"/>
      <c r="S32" s="5"/>
    </row>
    <row r="33" spans="2:19" ht="14.5" x14ac:dyDescent="0.35">
      <c r="H33" s="5" t="s">
        <v>771</v>
      </c>
      <c r="I33" s="5" t="s">
        <v>755</v>
      </c>
      <c r="J33" s="5">
        <v>176</v>
      </c>
      <c r="K33" s="5">
        <v>173</v>
      </c>
      <c r="L33" s="603" t="s">
        <v>755</v>
      </c>
      <c r="M33" s="5"/>
      <c r="N33" s="5">
        <v>175</v>
      </c>
      <c r="O33" s="605">
        <v>175</v>
      </c>
      <c r="P33" s="605">
        <v>0</v>
      </c>
      <c r="Q33" s="605">
        <v>0</v>
      </c>
      <c r="R33" s="605">
        <v>0</v>
      </c>
      <c r="S33" s="605">
        <v>14</v>
      </c>
    </row>
    <row r="34" spans="2:19" ht="14.5" x14ac:dyDescent="0.35">
      <c r="H34" s="5"/>
      <c r="I34" s="5"/>
      <c r="J34" s="5"/>
      <c r="K34" s="5"/>
      <c r="L34" s="603"/>
      <c r="M34" s="5"/>
      <c r="N34" s="5"/>
      <c r="O34" s="605"/>
      <c r="P34" s="605"/>
      <c r="Q34" s="605"/>
      <c r="R34" s="605"/>
      <c r="S34" s="605"/>
    </row>
    <row r="35" spans="2:19" x14ac:dyDescent="0.25">
      <c r="H35" s="5" t="s">
        <v>772</v>
      </c>
      <c r="I35" s="5" t="s">
        <v>755</v>
      </c>
      <c r="J35" s="5">
        <v>74</v>
      </c>
      <c r="K35" s="5">
        <v>78</v>
      </c>
      <c r="L35" s="603" t="s">
        <v>755</v>
      </c>
      <c r="M35" s="5"/>
      <c r="N35" s="5">
        <v>77</v>
      </c>
      <c r="O35" s="5">
        <v>59</v>
      </c>
      <c r="P35" s="5">
        <v>18</v>
      </c>
      <c r="Q35" s="5">
        <v>0</v>
      </c>
      <c r="R35" s="5">
        <v>0</v>
      </c>
      <c r="S35" s="5">
        <v>7</v>
      </c>
    </row>
    <row r="36" spans="2:19" x14ac:dyDescent="0.25">
      <c r="H36" s="5"/>
      <c r="I36" s="5"/>
      <c r="J36" s="5"/>
      <c r="K36" s="5"/>
      <c r="L36" s="5"/>
      <c r="M36" s="5"/>
      <c r="N36" s="5"/>
      <c r="O36" s="5"/>
      <c r="P36" s="5"/>
      <c r="Q36" s="5"/>
      <c r="R36" s="5"/>
      <c r="S36" s="5"/>
    </row>
    <row r="37" spans="2:19" ht="14.5" x14ac:dyDescent="0.35">
      <c r="H37" s="5"/>
      <c r="I37" s="5"/>
      <c r="J37" s="343">
        <v>2224</v>
      </c>
      <c r="K37" s="343">
        <v>2364</v>
      </c>
      <c r="L37" s="343"/>
      <c r="M37" s="343"/>
      <c r="N37" s="343">
        <v>2360</v>
      </c>
      <c r="O37" s="343">
        <v>2026</v>
      </c>
      <c r="P37" s="343">
        <v>225</v>
      </c>
      <c r="Q37" s="343">
        <v>109</v>
      </c>
      <c r="R37" s="343">
        <v>0</v>
      </c>
      <c r="S37" s="343">
        <v>108</v>
      </c>
    </row>
    <row r="39" spans="2:19" ht="13" x14ac:dyDescent="0.3">
      <c r="B39" s="165" t="s">
        <v>774</v>
      </c>
    </row>
    <row r="41" spans="2:19" ht="26" x14ac:dyDescent="0.35">
      <c r="B41" s="638" t="s">
        <v>48</v>
      </c>
      <c r="C41" s="639" t="s">
        <v>49</v>
      </c>
      <c r="D41" s="5" t="s">
        <v>745</v>
      </c>
      <c r="E41" s="69" t="s">
        <v>746</v>
      </c>
      <c r="F41" s="69" t="s">
        <v>289</v>
      </c>
      <c r="H41" s="343" t="s">
        <v>49</v>
      </c>
      <c r="I41" s="343" t="s">
        <v>747</v>
      </c>
      <c r="J41" s="343" t="s">
        <v>775</v>
      </c>
      <c r="K41" s="343" t="s">
        <v>749</v>
      </c>
      <c r="L41" s="343" t="s">
        <v>750</v>
      </c>
      <c r="M41" s="343"/>
      <c r="N41" s="343" t="s">
        <v>751</v>
      </c>
      <c r="O41" s="343" t="s">
        <v>101</v>
      </c>
      <c r="P41" s="343" t="s">
        <v>752</v>
      </c>
      <c r="Q41" s="344" t="s">
        <v>101</v>
      </c>
      <c r="R41" s="344" t="s">
        <v>88</v>
      </c>
      <c r="S41" s="343" t="s">
        <v>753</v>
      </c>
    </row>
    <row r="42" spans="2:19" x14ac:dyDescent="0.25">
      <c r="B42" s="68">
        <v>9257010</v>
      </c>
      <c r="C42" s="68" t="s">
        <v>60</v>
      </c>
      <c r="D42" s="8">
        <f>VLOOKUP('2324 OLEA Placements'!B42,'2324 Funding Detail'!$A$4:$Y$20,25,FALSE)</f>
        <v>6965.4929058844027</v>
      </c>
      <c r="E42" s="5">
        <f>S42</f>
        <v>3</v>
      </c>
      <c r="F42" s="8">
        <f>D42*E42</f>
        <v>20896.478717653208</v>
      </c>
      <c r="H42" s="5" t="s">
        <v>776</v>
      </c>
      <c r="I42" s="5" t="s">
        <v>755</v>
      </c>
      <c r="J42" s="5">
        <f>'[21]2223'!N39</f>
        <v>0</v>
      </c>
      <c r="K42" s="5">
        <v>140</v>
      </c>
      <c r="L42" s="603">
        <v>44852</v>
      </c>
      <c r="M42" s="5"/>
      <c r="N42" s="5">
        <f>SUM(O42:R42)</f>
        <v>147</v>
      </c>
      <c r="O42" s="5">
        <v>104</v>
      </c>
      <c r="P42" s="5">
        <v>25</v>
      </c>
      <c r="Q42" s="5">
        <v>18</v>
      </c>
      <c r="R42" s="5">
        <v>0</v>
      </c>
      <c r="S42" s="5">
        <v>3</v>
      </c>
    </row>
    <row r="43" spans="2:19" x14ac:dyDescent="0.25">
      <c r="B43" s="68">
        <v>9257005</v>
      </c>
      <c r="C43" s="68" t="s">
        <v>63</v>
      </c>
      <c r="D43" s="8">
        <f>VLOOKUP('2324 OLEA Placements'!B43,'2324 Funding Detail'!$A$4:$Y$20,25,FALSE)</f>
        <v>9660.2734778577433</v>
      </c>
      <c r="E43" s="5">
        <f>S72</f>
        <v>3</v>
      </c>
      <c r="F43" s="8">
        <f t="shared" ref="F43:F57" si="1">D43*E43</f>
        <v>28980.82043357323</v>
      </c>
      <c r="H43" s="5"/>
      <c r="I43" s="5"/>
      <c r="J43" s="5"/>
      <c r="K43" s="5"/>
      <c r="L43" s="603"/>
      <c r="M43" s="5"/>
      <c r="N43" s="5"/>
      <c r="O43" s="5"/>
      <c r="P43" s="5"/>
      <c r="Q43" s="5"/>
      <c r="R43" s="5"/>
      <c r="S43" s="5"/>
    </row>
    <row r="44" spans="2:19" x14ac:dyDescent="0.25">
      <c r="B44" s="68">
        <v>9257025</v>
      </c>
      <c r="C44" s="68" t="s">
        <v>64</v>
      </c>
      <c r="D44" s="8">
        <f>VLOOKUP('2324 OLEA Placements'!B44,'2324 Funding Detail'!$A$4:$Y$20,25,FALSE)</f>
        <v>6564.330898592405</v>
      </c>
      <c r="E44" s="5">
        <f>S62</f>
        <v>5</v>
      </c>
      <c r="F44" s="8">
        <f t="shared" si="1"/>
        <v>32821.654492962029</v>
      </c>
      <c r="H44" s="5" t="s">
        <v>777</v>
      </c>
      <c r="I44" s="5" t="s">
        <v>755</v>
      </c>
      <c r="J44" s="5">
        <f>'[21]2223'!N41+'[21]2223'!N42</f>
        <v>0</v>
      </c>
      <c r="K44" s="5">
        <v>211</v>
      </c>
      <c r="L44" s="603">
        <v>44852</v>
      </c>
      <c r="M44" s="5"/>
      <c r="N44" s="5">
        <f>SUM(O44:R44)</f>
        <v>212</v>
      </c>
      <c r="O44" s="5">
        <v>201</v>
      </c>
      <c r="P44" s="5">
        <v>11</v>
      </c>
      <c r="Q44" s="5">
        <v>0</v>
      </c>
      <c r="R44" s="5">
        <v>0</v>
      </c>
      <c r="S44" s="5">
        <v>15</v>
      </c>
    </row>
    <row r="45" spans="2:19" x14ac:dyDescent="0.25">
      <c r="B45" s="68">
        <v>9257024</v>
      </c>
      <c r="C45" s="68" t="s">
        <v>66</v>
      </c>
      <c r="D45" s="8">
        <f>VLOOKUP('2324 OLEA Placements'!B45,'2324 Funding Detail'!$A$4:$Y$20,25,FALSE)</f>
        <v>7256.4794364899062</v>
      </c>
      <c r="E45" s="5">
        <f>S68</f>
        <v>1</v>
      </c>
      <c r="F45" s="8">
        <f t="shared" si="1"/>
        <v>7256.4794364899062</v>
      </c>
      <c r="H45" s="5"/>
      <c r="I45" s="5"/>
      <c r="J45" s="5"/>
      <c r="K45" s="5"/>
      <c r="L45" s="5"/>
      <c r="M45" s="5"/>
      <c r="N45" s="5"/>
      <c r="O45" s="5"/>
      <c r="P45" s="5"/>
      <c r="Q45" s="5"/>
      <c r="R45" s="5"/>
      <c r="S45" s="5"/>
    </row>
    <row r="46" spans="2:19" x14ac:dyDescent="0.25">
      <c r="B46" s="68">
        <v>9257031</v>
      </c>
      <c r="C46" s="68" t="s">
        <v>84</v>
      </c>
      <c r="D46" s="8">
        <f>VLOOKUP('2324 OLEA Placements'!B46,'2324 Funding Detail'!$A$4:$Y$20,25,FALSE)</f>
        <v>12093.8310237849</v>
      </c>
      <c r="E46" s="5">
        <f>S48</f>
        <v>6</v>
      </c>
      <c r="F46" s="8">
        <f t="shared" si="1"/>
        <v>72562.9861427094</v>
      </c>
      <c r="H46" s="5" t="s">
        <v>759</v>
      </c>
      <c r="I46" s="5" t="s">
        <v>755</v>
      </c>
      <c r="J46" s="5">
        <f>'[21]2223'!N44</f>
        <v>0</v>
      </c>
      <c r="K46" s="5">
        <v>65</v>
      </c>
      <c r="L46" s="603">
        <v>44852</v>
      </c>
      <c r="M46" s="5"/>
      <c r="N46" s="5">
        <f>SUM(O46:R46)</f>
        <v>70</v>
      </c>
      <c r="O46" s="5">
        <v>65</v>
      </c>
      <c r="P46" s="5">
        <v>0</v>
      </c>
      <c r="Q46" s="5">
        <v>5</v>
      </c>
      <c r="R46" s="5">
        <v>0</v>
      </c>
      <c r="S46" s="5">
        <v>4</v>
      </c>
    </row>
    <row r="47" spans="2:19" x14ac:dyDescent="0.25">
      <c r="B47" s="68">
        <v>9257033</v>
      </c>
      <c r="C47" s="68" t="s">
        <v>74</v>
      </c>
      <c r="D47" s="8">
        <f>VLOOKUP('2324 OLEA Placements'!B47,'2324 Funding Detail'!$A$4:$Y$20,25,FALSE)</f>
        <v>4225.3080803880785</v>
      </c>
      <c r="E47" s="5">
        <f>S55</f>
        <v>4</v>
      </c>
      <c r="F47" s="8">
        <f t="shared" si="1"/>
        <v>16901.232321552314</v>
      </c>
      <c r="H47" s="5"/>
      <c r="I47" s="5"/>
      <c r="J47" s="5"/>
      <c r="K47" s="5"/>
      <c r="L47" s="5"/>
      <c r="M47" s="5"/>
      <c r="N47" s="5"/>
      <c r="O47" s="5"/>
      <c r="P47" s="5"/>
      <c r="Q47" s="5"/>
      <c r="R47" s="5"/>
      <c r="S47" s="5"/>
    </row>
    <row r="48" spans="2:19" x14ac:dyDescent="0.25">
      <c r="B48" s="68">
        <v>9257008</v>
      </c>
      <c r="C48" s="68" t="s">
        <v>67</v>
      </c>
      <c r="D48" s="8">
        <f>VLOOKUP('2324 OLEA Placements'!B48,'2324 Funding Detail'!$A$4:$Y$20,25,FALSE)</f>
        <v>4763.7138613861389</v>
      </c>
      <c r="E48" s="5">
        <f>S51</f>
        <v>0</v>
      </c>
      <c r="F48" s="8">
        <f t="shared" si="1"/>
        <v>0</v>
      </c>
      <c r="H48" s="5" t="s">
        <v>154</v>
      </c>
      <c r="I48" s="5" t="s">
        <v>755</v>
      </c>
      <c r="J48" s="5">
        <f>'[21]2223'!N46</f>
        <v>0</v>
      </c>
      <c r="K48" s="5">
        <v>80</v>
      </c>
      <c r="L48" s="603">
        <v>44853</v>
      </c>
      <c r="M48" s="5"/>
      <c r="N48" s="5">
        <f t="shared" ref="N48:N49" si="2">SUM(O48:R48)</f>
        <v>80</v>
      </c>
      <c r="O48" s="5">
        <v>80</v>
      </c>
      <c r="P48" s="5">
        <v>0</v>
      </c>
      <c r="Q48" s="5">
        <v>0</v>
      </c>
      <c r="R48" s="5">
        <v>0</v>
      </c>
      <c r="S48" s="5">
        <v>6</v>
      </c>
    </row>
    <row r="49" spans="2:19" x14ac:dyDescent="0.25">
      <c r="B49" s="68">
        <v>9257034</v>
      </c>
      <c r="C49" s="68" t="s">
        <v>75</v>
      </c>
      <c r="D49" s="8">
        <f>VLOOKUP('2324 OLEA Placements'!B49,'2324 Funding Detail'!$A$4:$Y$20,25,FALSE)</f>
        <v>4069.2863844834901</v>
      </c>
      <c r="E49" s="5">
        <f>S53</f>
        <v>15</v>
      </c>
      <c r="F49" s="8">
        <f t="shared" si="1"/>
        <v>61039.295767252348</v>
      </c>
      <c r="H49" s="5" t="s">
        <v>760</v>
      </c>
      <c r="I49" s="604" t="s">
        <v>755</v>
      </c>
      <c r="J49" s="5">
        <f>'[21]2223'!N47</f>
        <v>0</v>
      </c>
      <c r="K49" s="5">
        <v>110</v>
      </c>
      <c r="L49" s="603">
        <v>44853</v>
      </c>
      <c r="M49" s="5"/>
      <c r="N49" s="5">
        <f t="shared" si="2"/>
        <v>115</v>
      </c>
      <c r="O49" s="5">
        <v>110</v>
      </c>
      <c r="P49" s="5">
        <v>0</v>
      </c>
      <c r="Q49" s="5">
        <v>5</v>
      </c>
      <c r="R49" s="5">
        <v>0</v>
      </c>
      <c r="S49" s="5">
        <v>8</v>
      </c>
    </row>
    <row r="50" spans="2:19" x14ac:dyDescent="0.25">
      <c r="B50" s="68">
        <v>9257002</v>
      </c>
      <c r="C50" s="68" t="s">
        <v>68</v>
      </c>
      <c r="D50" s="8">
        <f>VLOOKUP('2324 OLEA Placements'!B50,'2324 Funding Detail'!$A$4:$Y$20,25,FALSE)</f>
        <v>4339.2712388848086</v>
      </c>
      <c r="E50" s="5">
        <f>S70</f>
        <v>12</v>
      </c>
      <c r="F50" s="8">
        <f t="shared" si="1"/>
        <v>52071.254866617703</v>
      </c>
      <c r="H50" s="5"/>
      <c r="I50" s="5"/>
      <c r="J50" s="5"/>
      <c r="K50" s="5"/>
      <c r="L50" s="5"/>
      <c r="M50" s="5"/>
      <c r="N50" s="5"/>
      <c r="O50" s="5"/>
      <c r="P50" s="5"/>
      <c r="Q50" s="5"/>
      <c r="R50" s="5"/>
      <c r="S50" s="5"/>
    </row>
    <row r="51" spans="2:19" x14ac:dyDescent="0.25">
      <c r="B51" s="68">
        <v>9257009</v>
      </c>
      <c r="C51" s="68" t="s">
        <v>334</v>
      </c>
      <c r="D51" s="8">
        <f>VLOOKUP('2324 OLEA Placements'!B51,'2324 Funding Detail'!$A$4:$Y$20,25,FALSE)</f>
        <v>4721.9836548224721</v>
      </c>
      <c r="E51" s="5">
        <f>S44</f>
        <v>15</v>
      </c>
      <c r="F51" s="8">
        <f>D51*E51</f>
        <v>70829.754822337083</v>
      </c>
      <c r="H51" s="5" t="s">
        <v>761</v>
      </c>
      <c r="I51" s="5" t="s">
        <v>755</v>
      </c>
      <c r="J51" s="5">
        <f>'[21]2223'!N49</f>
        <v>0</v>
      </c>
      <c r="K51" s="5">
        <v>103</v>
      </c>
      <c r="L51" s="603">
        <v>44853</v>
      </c>
      <c r="M51" s="5"/>
      <c r="N51" s="5">
        <f t="shared" ref="N51" si="3">SUM(O51:R51)</f>
        <v>101</v>
      </c>
      <c r="O51" s="5">
        <v>101</v>
      </c>
      <c r="P51" s="5">
        <v>0</v>
      </c>
      <c r="Q51" s="5">
        <v>0</v>
      </c>
      <c r="R51" s="5">
        <v>0</v>
      </c>
      <c r="S51" s="5">
        <v>0</v>
      </c>
    </row>
    <row r="52" spans="2:19" x14ac:dyDescent="0.25">
      <c r="B52" s="68">
        <v>9257029</v>
      </c>
      <c r="C52" s="68" t="s">
        <v>278</v>
      </c>
      <c r="D52" s="8">
        <f>VLOOKUP('2324 OLEA Placements'!B52,'2324 Funding Detail'!$A$4:$Y$20,25,FALSE)</f>
        <v>11864.677848101266</v>
      </c>
      <c r="E52" s="5">
        <f>S66</f>
        <v>5</v>
      </c>
      <c r="F52" s="8">
        <f t="shared" si="1"/>
        <v>59323.389240506331</v>
      </c>
      <c r="H52" s="5"/>
      <c r="I52" s="5"/>
      <c r="J52" s="5"/>
      <c r="K52" s="5"/>
      <c r="L52" s="5"/>
      <c r="M52" s="5"/>
      <c r="N52" s="5"/>
      <c r="O52" s="5"/>
      <c r="P52" s="5"/>
      <c r="Q52" s="5"/>
      <c r="R52" s="5"/>
      <c r="S52" s="5"/>
    </row>
    <row r="53" spans="2:19" ht="14.5" x14ac:dyDescent="0.35">
      <c r="B53" s="68">
        <v>9257032</v>
      </c>
      <c r="C53" s="68" t="s">
        <v>380</v>
      </c>
      <c r="D53" s="8">
        <f>VLOOKUP('2324 OLEA Placements'!B53,'2324 Funding Detail'!$A$4:$Y$20,25,FALSE)</f>
        <v>10164.233962264148</v>
      </c>
      <c r="E53" s="5">
        <f>S49</f>
        <v>8</v>
      </c>
      <c r="F53" s="8">
        <f t="shared" si="1"/>
        <v>81313.871698113187</v>
      </c>
      <c r="H53" s="5" t="s">
        <v>762</v>
      </c>
      <c r="I53" s="5" t="s">
        <v>755</v>
      </c>
      <c r="J53" s="605">
        <f>'[21]2223'!N51</f>
        <v>0</v>
      </c>
      <c r="K53" s="5">
        <v>132</v>
      </c>
      <c r="L53" s="603">
        <v>44853</v>
      </c>
      <c r="M53" s="5"/>
      <c r="N53" s="5">
        <f>SUM(O53:R53)</f>
        <v>132</v>
      </c>
      <c r="O53" s="605">
        <v>106</v>
      </c>
      <c r="P53" s="605">
        <v>26</v>
      </c>
      <c r="Q53" s="605">
        <v>0</v>
      </c>
      <c r="R53" s="605">
        <v>0</v>
      </c>
      <c r="S53" s="605">
        <v>15</v>
      </c>
    </row>
    <row r="54" spans="2:19" ht="14.5" x14ac:dyDescent="0.35">
      <c r="B54" s="68">
        <v>9257030</v>
      </c>
      <c r="C54" s="68" t="s">
        <v>383</v>
      </c>
      <c r="D54" s="8">
        <f>VLOOKUP('2324 OLEA Placements'!B54,'2324 Funding Detail'!$A$4:$Y$20,25,FALSE)</f>
        <v>12756.602891938059</v>
      </c>
      <c r="E54" s="5">
        <f>S46</f>
        <v>4</v>
      </c>
      <c r="F54" s="8">
        <f t="shared" si="1"/>
        <v>51026.411567752235</v>
      </c>
      <c r="H54" s="5"/>
      <c r="I54" s="5"/>
      <c r="J54" s="605"/>
      <c r="K54" s="5"/>
      <c r="L54" s="603"/>
      <c r="M54" s="5"/>
      <c r="N54" s="605"/>
      <c r="O54" s="605"/>
      <c r="P54" s="605"/>
      <c r="Q54" s="605"/>
      <c r="R54" s="605"/>
      <c r="S54" s="605"/>
    </row>
    <row r="55" spans="2:19" ht="14.5" x14ac:dyDescent="0.35">
      <c r="B55" s="68">
        <v>9257028</v>
      </c>
      <c r="C55" s="68" t="s">
        <v>70</v>
      </c>
      <c r="D55" s="8">
        <f>VLOOKUP('2324 OLEA Placements'!B55,'2324 Funding Detail'!$A$4:$Y$20,25,FALSE)</f>
        <v>7544.3955587957134</v>
      </c>
      <c r="E55" s="5">
        <f>S64</f>
        <v>11</v>
      </c>
      <c r="F55" s="8">
        <f t="shared" si="1"/>
        <v>82988.351146752844</v>
      </c>
      <c r="H55" s="5" t="s">
        <v>763</v>
      </c>
      <c r="I55" s="5" t="s">
        <v>755</v>
      </c>
      <c r="J55" s="605">
        <f>'[21]2223'!N53</f>
        <v>0</v>
      </c>
      <c r="K55" s="5">
        <v>115</v>
      </c>
      <c r="L55" s="603">
        <v>44853</v>
      </c>
      <c r="M55" s="5"/>
      <c r="N55" s="5">
        <f>SUM(O55:R55)</f>
        <v>115</v>
      </c>
      <c r="O55" s="605">
        <v>115</v>
      </c>
      <c r="P55" s="605">
        <v>0</v>
      </c>
      <c r="Q55" s="605">
        <v>0</v>
      </c>
      <c r="R55" s="605">
        <v>0</v>
      </c>
      <c r="S55" s="605">
        <v>4</v>
      </c>
    </row>
    <row r="56" spans="2:19" x14ac:dyDescent="0.25">
      <c r="B56" s="68">
        <v>9257021</v>
      </c>
      <c r="C56" s="68" t="s">
        <v>71</v>
      </c>
      <c r="D56" s="8">
        <f>VLOOKUP('2324 OLEA Placements'!B56,'2324 Funding Detail'!$A$4:$Y$20,25,FALSE)</f>
        <v>3735.8078339875374</v>
      </c>
      <c r="E56" s="5">
        <f>S61</f>
        <v>9</v>
      </c>
      <c r="F56" s="8">
        <f t="shared" si="1"/>
        <v>33622.270505887835</v>
      </c>
      <c r="H56" s="5"/>
      <c r="I56" s="5"/>
      <c r="J56" s="5"/>
      <c r="K56" s="5"/>
      <c r="L56" s="5"/>
      <c r="M56" s="5"/>
      <c r="N56" s="5"/>
      <c r="O56" s="5"/>
      <c r="P56" s="5"/>
      <c r="Q56" s="5"/>
      <c r="R56" s="5"/>
      <c r="S56" s="5"/>
    </row>
    <row r="57" spans="2:19" ht="14.5" x14ac:dyDescent="0.35">
      <c r="B57" s="68">
        <v>9257015</v>
      </c>
      <c r="C57" s="68" t="s">
        <v>72</v>
      </c>
      <c r="D57" s="8">
        <f>VLOOKUP('2324 OLEA Placements'!B57,'2324 Funding Detail'!$A$4:$Y$20,25,FALSE)</f>
        <v>3889.1362491974942</v>
      </c>
      <c r="E57" s="5">
        <f>S57</f>
        <v>1</v>
      </c>
      <c r="F57" s="8">
        <f t="shared" si="1"/>
        <v>3889.1362491974942</v>
      </c>
      <c r="H57" s="5" t="s">
        <v>764</v>
      </c>
      <c r="I57" s="5" t="s">
        <v>755</v>
      </c>
      <c r="J57" s="5">
        <f>'[21]2223'!N55</f>
        <v>0</v>
      </c>
      <c r="K57" s="5">
        <v>227</v>
      </c>
      <c r="L57" s="603">
        <v>44853</v>
      </c>
      <c r="M57" s="5"/>
      <c r="N57" s="5">
        <f>SUM(O57:R57)</f>
        <v>240</v>
      </c>
      <c r="O57" s="605">
        <v>204</v>
      </c>
      <c r="P57" s="605">
        <v>23</v>
      </c>
      <c r="Q57" s="605">
        <v>13</v>
      </c>
      <c r="R57" s="605">
        <v>0</v>
      </c>
      <c r="S57" s="605">
        <v>1</v>
      </c>
    </row>
    <row r="58" spans="2:19" ht="14.5" x14ac:dyDescent="0.35">
      <c r="B58" s="68">
        <v>9257016</v>
      </c>
      <c r="C58" s="68" t="s">
        <v>73</v>
      </c>
      <c r="D58" s="8">
        <f>VLOOKUP('2324 OLEA Placements'!B58,'2324 Funding Detail'!$A$4:$Y$20,25,FALSE)</f>
        <v>9700.1248864783083</v>
      </c>
      <c r="E58" s="5">
        <f>S59</f>
        <v>5</v>
      </c>
      <c r="F58" s="8">
        <f>D58*E58</f>
        <v>48500.624432391545</v>
      </c>
      <c r="H58" s="5"/>
      <c r="I58" s="5"/>
      <c r="J58" s="5"/>
      <c r="K58" s="5"/>
      <c r="L58" s="603"/>
      <c r="M58" s="5"/>
      <c r="N58" s="5"/>
      <c r="O58" s="605"/>
      <c r="P58" s="605"/>
      <c r="Q58" s="605"/>
      <c r="R58" s="605"/>
      <c r="S58" s="605"/>
    </row>
    <row r="59" spans="2:19" x14ac:dyDescent="0.25">
      <c r="H59" s="5" t="s">
        <v>765</v>
      </c>
      <c r="I59" s="5" t="s">
        <v>755</v>
      </c>
      <c r="J59" s="5">
        <f>'[21]2223'!N57</f>
        <v>0</v>
      </c>
      <c r="K59" s="5">
        <v>165</v>
      </c>
      <c r="L59" s="603">
        <v>44853</v>
      </c>
      <c r="M59" s="5"/>
      <c r="N59" s="5">
        <f>SUM(O59:R59)</f>
        <v>165</v>
      </c>
      <c r="O59" s="5">
        <v>114</v>
      </c>
      <c r="P59" s="5">
        <v>51</v>
      </c>
      <c r="Q59" s="5">
        <v>0</v>
      </c>
      <c r="R59" s="5">
        <v>0</v>
      </c>
      <c r="S59" s="5">
        <v>5</v>
      </c>
    </row>
    <row r="60" spans="2:19" ht="13" x14ac:dyDescent="0.3">
      <c r="D60" s="24">
        <f>SUM(D42:D59)</f>
        <v>124314.95019333689</v>
      </c>
      <c r="E60" s="3">
        <f>SUM(E42:E59)</f>
        <v>107</v>
      </c>
      <c r="F60" s="345">
        <f>SUM(F42:F59)</f>
        <v>724024.01184174861</v>
      </c>
      <c r="H60" s="5"/>
      <c r="I60" s="5"/>
      <c r="J60" s="5"/>
      <c r="K60" s="5"/>
      <c r="L60" s="5"/>
      <c r="M60" s="5"/>
      <c r="N60" s="5"/>
      <c r="O60" s="5"/>
      <c r="P60" s="5"/>
      <c r="Q60" s="5"/>
      <c r="R60" s="5"/>
      <c r="S60" s="5"/>
    </row>
    <row r="61" spans="2:19" x14ac:dyDescent="0.25">
      <c r="H61" s="5" t="s">
        <v>766</v>
      </c>
      <c r="I61" s="5" t="s">
        <v>755</v>
      </c>
      <c r="J61" s="5">
        <f>'[21]2223'!N59</f>
        <v>0</v>
      </c>
      <c r="K61" s="5">
        <v>178</v>
      </c>
      <c r="L61" s="603">
        <v>44853</v>
      </c>
      <c r="M61" s="5"/>
      <c r="N61" s="5">
        <f t="shared" ref="N61:N62" si="4">SUM(O61:R61)</f>
        <v>179</v>
      </c>
      <c r="O61" s="5">
        <v>179</v>
      </c>
      <c r="P61" s="5">
        <v>0</v>
      </c>
      <c r="Q61" s="5">
        <v>0</v>
      </c>
      <c r="R61" s="5">
        <v>0</v>
      </c>
      <c r="S61" s="5">
        <v>9</v>
      </c>
    </row>
    <row r="62" spans="2:19" x14ac:dyDescent="0.25">
      <c r="H62" s="5" t="s">
        <v>767</v>
      </c>
      <c r="I62" s="5" t="s">
        <v>755</v>
      </c>
      <c r="J62" s="5">
        <f>'[21]2223'!N60</f>
        <v>0</v>
      </c>
      <c r="K62" s="5">
        <v>101</v>
      </c>
      <c r="L62" s="603">
        <v>44853</v>
      </c>
      <c r="M62" s="5"/>
      <c r="N62" s="5">
        <f t="shared" si="4"/>
        <v>101</v>
      </c>
      <c r="O62" s="5">
        <v>71</v>
      </c>
      <c r="P62" s="5">
        <v>24</v>
      </c>
      <c r="Q62" s="5">
        <v>6</v>
      </c>
      <c r="R62" s="5">
        <v>0</v>
      </c>
      <c r="S62" s="5">
        <v>5</v>
      </c>
    </row>
    <row r="63" spans="2:19" x14ac:dyDescent="0.25">
      <c r="H63" s="5"/>
      <c r="I63" s="5"/>
      <c r="J63" s="5"/>
      <c r="K63" s="5"/>
      <c r="L63" s="5"/>
      <c r="M63" s="5"/>
      <c r="N63" s="5"/>
      <c r="O63" s="5"/>
      <c r="P63" s="5"/>
      <c r="Q63" s="5"/>
      <c r="R63" s="5"/>
      <c r="S63" s="5"/>
    </row>
    <row r="64" spans="2:19" ht="14.5" x14ac:dyDescent="0.35">
      <c r="H64" s="5" t="s">
        <v>768</v>
      </c>
      <c r="I64" s="5" t="s">
        <v>755</v>
      </c>
      <c r="J64" s="605">
        <f>'[21]2223'!N62</f>
        <v>0</v>
      </c>
      <c r="K64" s="5">
        <v>148</v>
      </c>
      <c r="L64" s="603">
        <v>44853</v>
      </c>
      <c r="M64" s="5"/>
      <c r="N64" s="5">
        <f>SUM(O64:R64)</f>
        <v>141</v>
      </c>
      <c r="O64" s="606">
        <v>123</v>
      </c>
      <c r="P64" s="606">
        <v>11</v>
      </c>
      <c r="Q64" s="606">
        <v>7</v>
      </c>
      <c r="R64" s="606">
        <v>0</v>
      </c>
      <c r="S64" s="5">
        <v>11</v>
      </c>
    </row>
    <row r="65" spans="2:19" x14ac:dyDescent="0.25">
      <c r="H65" s="5"/>
      <c r="I65" s="5"/>
      <c r="J65" s="5"/>
      <c r="K65" s="5"/>
      <c r="L65" s="5"/>
      <c r="M65" s="5"/>
      <c r="N65" s="5"/>
      <c r="O65" s="5"/>
      <c r="P65" s="5"/>
      <c r="Q65" s="5"/>
      <c r="R65" s="5"/>
      <c r="S65" s="5"/>
    </row>
    <row r="66" spans="2:19" x14ac:dyDescent="0.25">
      <c r="H66" s="5" t="s">
        <v>769</v>
      </c>
      <c r="I66" s="5" t="s">
        <v>755</v>
      </c>
      <c r="J66" s="5">
        <f>'[21]2223'!N64</f>
        <v>0</v>
      </c>
      <c r="K66" s="5">
        <v>74</v>
      </c>
      <c r="L66" s="603">
        <v>44852</v>
      </c>
      <c r="M66" s="5"/>
      <c r="N66" s="5">
        <f>SUM(O66:R66)</f>
        <v>79</v>
      </c>
      <c r="O66" s="5">
        <v>79</v>
      </c>
      <c r="P66" s="5">
        <v>0</v>
      </c>
      <c r="Q66" s="5">
        <v>0</v>
      </c>
      <c r="R66" s="5">
        <v>0</v>
      </c>
      <c r="S66" s="5">
        <v>5</v>
      </c>
    </row>
    <row r="67" spans="2:19" x14ac:dyDescent="0.25">
      <c r="H67" s="5"/>
      <c r="I67" s="5"/>
      <c r="J67" s="5"/>
      <c r="K67" s="5"/>
      <c r="L67" s="5"/>
      <c r="M67" s="5"/>
      <c r="N67" s="5"/>
      <c r="O67" s="5"/>
      <c r="P67" s="5"/>
      <c r="Q67" s="5"/>
      <c r="R67" s="5"/>
      <c r="S67" s="5"/>
    </row>
    <row r="68" spans="2:19" x14ac:dyDescent="0.25">
      <c r="H68" s="5" t="s">
        <v>770</v>
      </c>
      <c r="I68" s="5" t="s">
        <v>755</v>
      </c>
      <c r="J68" s="5">
        <f>'[21]2223'!N66</f>
        <v>0</v>
      </c>
      <c r="K68" s="5">
        <v>104</v>
      </c>
      <c r="L68" s="603">
        <v>44853</v>
      </c>
      <c r="M68" s="5"/>
      <c r="N68" s="5">
        <f>SUM(O68:R68)</f>
        <v>96</v>
      </c>
      <c r="O68" s="5">
        <v>70</v>
      </c>
      <c r="P68" s="5">
        <v>16</v>
      </c>
      <c r="Q68" s="5">
        <v>10</v>
      </c>
      <c r="R68" s="5">
        <v>0</v>
      </c>
      <c r="S68" s="5">
        <v>1</v>
      </c>
    </row>
    <row r="69" spans="2:19" x14ac:dyDescent="0.25">
      <c r="H69" s="5"/>
      <c r="I69" s="5"/>
      <c r="J69" s="5"/>
      <c r="K69" s="5"/>
      <c r="L69" s="5"/>
      <c r="M69" s="5"/>
      <c r="N69" s="5"/>
      <c r="O69" s="5"/>
      <c r="P69" s="5"/>
      <c r="Q69" s="5"/>
      <c r="R69" s="5"/>
      <c r="S69" s="5"/>
    </row>
    <row r="70" spans="2:19" ht="14.5" x14ac:dyDescent="0.35">
      <c r="H70" s="5" t="s">
        <v>771</v>
      </c>
      <c r="I70" s="5" t="s">
        <v>755</v>
      </c>
      <c r="J70" s="5">
        <f>'[21]2223'!N68</f>
        <v>0</v>
      </c>
      <c r="K70" s="5">
        <v>175</v>
      </c>
      <c r="L70" s="603">
        <v>44852</v>
      </c>
      <c r="M70" s="5"/>
      <c r="N70" s="5">
        <f t="shared" ref="N70" si="5">SUM(O70:R70)</f>
        <v>176</v>
      </c>
      <c r="O70" s="605">
        <v>176</v>
      </c>
      <c r="P70" s="605">
        <v>0</v>
      </c>
      <c r="Q70" s="605">
        <v>0</v>
      </c>
      <c r="R70" s="605">
        <v>0</v>
      </c>
      <c r="S70" s="605">
        <v>12</v>
      </c>
    </row>
    <row r="71" spans="2:19" ht="14.5" x14ac:dyDescent="0.35">
      <c r="H71" s="5"/>
      <c r="I71" s="5"/>
      <c r="J71" s="5"/>
      <c r="K71" s="5"/>
      <c r="L71" s="603"/>
      <c r="M71" s="5"/>
      <c r="N71" s="5"/>
      <c r="O71" s="605"/>
      <c r="P71" s="605"/>
      <c r="Q71" s="605"/>
      <c r="R71" s="605"/>
      <c r="S71" s="605"/>
    </row>
    <row r="72" spans="2:19" x14ac:dyDescent="0.25">
      <c r="H72" s="5" t="s">
        <v>772</v>
      </c>
      <c r="I72" s="5" t="s">
        <v>755</v>
      </c>
      <c r="J72" s="5">
        <f>'[21]2223'!N69</f>
        <v>0</v>
      </c>
      <c r="K72" s="5">
        <v>74</v>
      </c>
      <c r="L72" s="603">
        <v>44852</v>
      </c>
      <c r="M72" s="5"/>
      <c r="N72" s="5">
        <f t="shared" ref="N72" si="6">SUM(O72:R72)</f>
        <v>74</v>
      </c>
      <c r="O72" s="5">
        <v>54</v>
      </c>
      <c r="P72" s="5">
        <v>20</v>
      </c>
      <c r="Q72" s="5">
        <v>0</v>
      </c>
      <c r="R72" s="5">
        <v>0</v>
      </c>
      <c r="S72" s="5">
        <v>3</v>
      </c>
    </row>
    <row r="73" spans="2:19" x14ac:dyDescent="0.25">
      <c r="H73" s="5"/>
      <c r="I73" s="5"/>
      <c r="J73" s="5"/>
      <c r="K73" s="5"/>
      <c r="L73" s="5"/>
      <c r="M73" s="5"/>
      <c r="N73" s="5"/>
      <c r="O73" s="5"/>
      <c r="P73" s="5"/>
      <c r="Q73" s="5"/>
      <c r="R73" s="5"/>
      <c r="S73" s="5"/>
    </row>
    <row r="74" spans="2:19" ht="14.5" x14ac:dyDescent="0.35">
      <c r="H74" s="5"/>
      <c r="I74" s="5"/>
      <c r="J74" s="343">
        <f>SUM(J42:J72)</f>
        <v>0</v>
      </c>
      <c r="K74" s="343">
        <f>SUM(K42:K72)</f>
        <v>2202</v>
      </c>
      <c r="L74" s="343"/>
      <c r="M74" s="343"/>
      <c r="N74" s="343">
        <f t="shared" ref="N74:S74" si="7">SUM(N42:N72)</f>
        <v>2223</v>
      </c>
      <c r="O74" s="343">
        <f t="shared" si="7"/>
        <v>1952</v>
      </c>
      <c r="P74" s="343">
        <f t="shared" si="7"/>
        <v>207</v>
      </c>
      <c r="Q74" s="343">
        <f t="shared" si="7"/>
        <v>64</v>
      </c>
      <c r="R74" s="343">
        <f t="shared" si="7"/>
        <v>0</v>
      </c>
      <c r="S74" s="343">
        <f t="shared" si="7"/>
        <v>107</v>
      </c>
    </row>
    <row r="76" spans="2:19" ht="13" x14ac:dyDescent="0.3">
      <c r="B76" s="1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P27"/>
  <sheetViews>
    <sheetView zoomScaleNormal="100" workbookViewId="0">
      <selection activeCell="B3" sqref="B3"/>
    </sheetView>
  </sheetViews>
  <sheetFormatPr defaultColWidth="8.7265625" defaultRowHeight="15.5" x14ac:dyDescent="0.35"/>
  <cols>
    <col min="1" max="1" width="8.7265625" style="395"/>
    <col min="2" max="2" width="10.81640625" style="395" customWidth="1"/>
    <col min="3" max="3" width="14.54296875" style="395" hidden="1" customWidth="1"/>
    <col min="4" max="4" width="38.1796875" style="395" hidden="1" customWidth="1"/>
    <col min="5" max="5" width="38.7265625" style="395" customWidth="1"/>
    <col min="6" max="6" width="14.7265625" style="395" customWidth="1"/>
    <col min="7" max="13" width="10.7265625" style="395" customWidth="1"/>
    <col min="14" max="14" width="6.81640625" style="395" customWidth="1"/>
    <col min="15" max="15" width="27.54296875" style="395" customWidth="1"/>
    <col min="16" max="16384" width="8.7265625" style="395"/>
  </cols>
  <sheetData>
    <row r="1" spans="1:16" x14ac:dyDescent="0.35">
      <c r="A1" s="521" t="s">
        <v>939</v>
      </c>
    </row>
    <row r="3" spans="1:16" x14ac:dyDescent="0.35">
      <c r="A3" s="414" t="s">
        <v>21</v>
      </c>
      <c r="B3" s="415"/>
      <c r="D3" s="406"/>
      <c r="E3" s="406"/>
      <c r="F3" s="406"/>
      <c r="G3" s="411" t="e">
        <f>VLOOKUP(B3,'2223 Funding Detail'!A1:AN22,2,FALSE)</f>
        <v>#N/A</v>
      </c>
    </row>
    <row r="5" spans="1:16" x14ac:dyDescent="0.35">
      <c r="C5" s="591" t="s">
        <v>406</v>
      </c>
      <c r="D5" s="591"/>
      <c r="E5" s="591"/>
      <c r="F5" s="591" t="s">
        <v>407</v>
      </c>
      <c r="G5" s="591" t="s">
        <v>229</v>
      </c>
      <c r="H5" s="591" t="s">
        <v>230</v>
      </c>
      <c r="I5" s="591" t="s">
        <v>231</v>
      </c>
      <c r="J5" s="591" t="s">
        <v>232</v>
      </c>
      <c r="K5" s="591" t="s">
        <v>233</v>
      </c>
      <c r="L5" s="591" t="s">
        <v>234</v>
      </c>
      <c r="M5" s="591" t="s">
        <v>235</v>
      </c>
      <c r="O5" s="591" t="s">
        <v>411</v>
      </c>
      <c r="P5" s="395">
        <v>5</v>
      </c>
    </row>
    <row r="6" spans="1:16" x14ac:dyDescent="0.35">
      <c r="C6" s="682" t="s">
        <v>312</v>
      </c>
      <c r="D6" s="682" t="str">
        <f>CONCATENATE(B3,C6)</f>
        <v>2023/24</v>
      </c>
      <c r="E6" s="682" t="s">
        <v>408</v>
      </c>
      <c r="F6" s="683" t="e">
        <f>VLOOKUP($D$6,'2425 MFG Protection'!$B$4:$O$197,4,(FALSE))</f>
        <v>#N/A</v>
      </c>
      <c r="G6" s="683" t="e">
        <f>VLOOKUP($D$6,'2425 MFG Protection'!$B$4:$O$197,5,(FALSE))</f>
        <v>#N/A</v>
      </c>
      <c r="H6" s="683" t="e">
        <f>VLOOKUP($D$6,'2425 MFG Protection'!$B$4:$O$197,6,(FALSE))</f>
        <v>#N/A</v>
      </c>
      <c r="I6" s="683" t="e">
        <f>VLOOKUP($D$6,'2425 MFG Protection'!$B$4:$O$197,7,(FALSE))</f>
        <v>#N/A</v>
      </c>
      <c r="J6" s="683" t="e">
        <f>VLOOKUP($D$6,'2425 MFG Protection'!$B$4:$O$197,8,(FALSE))</f>
        <v>#N/A</v>
      </c>
      <c r="K6" s="683" t="e">
        <f>VLOOKUP($D$6,'2425 MFG Protection'!$B$4:$O$197,9,(FALSE))</f>
        <v>#N/A</v>
      </c>
      <c r="L6" s="684" t="e">
        <f>VLOOKUP($D$6,'2425 MFG Protection'!$B$4:$O$197,10,(FALSE))</f>
        <v>#N/A</v>
      </c>
      <c r="M6" s="683" t="e">
        <f>VLOOKUP($D$6,'2425 MFG Protection'!$B$4:$O$197,11,(FALSE))</f>
        <v>#N/A</v>
      </c>
      <c r="O6" s="614" t="e">
        <f>VLOOKUP($D$6,'2425 MFG Protection'!$B$4:$O$197,14,(FALSE))</f>
        <v>#N/A</v>
      </c>
    </row>
    <row r="7" spans="1:16" x14ac:dyDescent="0.35">
      <c r="C7" s="682" t="s">
        <v>890</v>
      </c>
      <c r="D7" s="682" t="str">
        <f>CONCATENATE(B3,C7)</f>
        <v>2024/25</v>
      </c>
      <c r="E7" s="682" t="s">
        <v>940</v>
      </c>
      <c r="F7" s="685" t="e">
        <f>VLOOKUP($D$7,'2425 MFG Protection'!$B$4:$O$197,4,FALSE)</f>
        <v>#N/A</v>
      </c>
      <c r="G7" s="685" t="e">
        <f>VLOOKUP($D$7,'2425 MFG Protection'!$B$4:$O$197,5,FALSE)</f>
        <v>#N/A</v>
      </c>
      <c r="H7" s="685" t="e">
        <f>VLOOKUP($D$7,'2425 MFG Protection'!$B$4:$O$197,6,FALSE)</f>
        <v>#N/A</v>
      </c>
      <c r="I7" s="685" t="e">
        <f>VLOOKUP($D$7,'2425 MFG Protection'!$B$4:$O$197,7,FALSE)</f>
        <v>#N/A</v>
      </c>
      <c r="J7" s="685" t="e">
        <f>VLOOKUP($D$7,'2425 MFG Protection'!$B$4:$O$197,8,FALSE)</f>
        <v>#N/A</v>
      </c>
      <c r="K7" s="685" t="e">
        <f>VLOOKUP($D$7,'2425 MFG Protection'!$B$4:$O$197,9,FALSE)</f>
        <v>#N/A</v>
      </c>
      <c r="L7" s="685" t="e">
        <f>VLOOKUP($D$7,'2425 MFG Protection'!$B$4:$O$197,10,FALSE)</f>
        <v>#N/A</v>
      </c>
      <c r="M7" s="685" t="e">
        <f>VLOOKUP($D$7,'2425 MFG Protection'!$B$4:$O$197,11,FALSE)</f>
        <v>#N/A</v>
      </c>
      <c r="O7" s="659"/>
    </row>
    <row r="8" spans="1:16" x14ac:dyDescent="0.35">
      <c r="C8" s="682" t="s">
        <v>349</v>
      </c>
      <c r="D8" s="682" t="str">
        <f>CONCATENATE(B3,C8)</f>
        <v>a</v>
      </c>
      <c r="E8" s="686" t="s">
        <v>941</v>
      </c>
      <c r="F8" s="687"/>
      <c r="G8" s="688" t="e">
        <f>VLOOKUP($D$8,'2425 MFG Protection'!$B$4:$O$197,5,(FALSE))</f>
        <v>#N/A</v>
      </c>
      <c r="H8" s="688" t="e">
        <f>VLOOKUP($D$8,'2425 MFG Protection'!$B$4:$O$197,6,(FALSE))</f>
        <v>#N/A</v>
      </c>
      <c r="I8" s="688" t="e">
        <f>VLOOKUP($D$8,'2425 MFG Protection'!$B$4:$O$197,7,(FALSE))</f>
        <v>#N/A</v>
      </c>
      <c r="J8" s="688" t="e">
        <f>VLOOKUP($D$8,'2425 MFG Protection'!$B$4:$O$197,8,(FALSE))</f>
        <v>#N/A</v>
      </c>
      <c r="K8" s="688" t="e">
        <f>VLOOKUP($D$8,'2425 MFG Protection'!$B$4:$O$197,9,(FALSE))</f>
        <v>#N/A</v>
      </c>
      <c r="L8" s="688" t="e">
        <f>VLOOKUP($D$8,'2425 MFG Protection'!$B$4:$O$197,10,(FALSE))</f>
        <v>#N/A</v>
      </c>
      <c r="M8" s="687"/>
      <c r="N8" s="395">
        <v>1</v>
      </c>
      <c r="O8" s="659"/>
    </row>
    <row r="9" spans="1:16" x14ac:dyDescent="0.35">
      <c r="C9" s="592" t="s">
        <v>409</v>
      </c>
      <c r="D9" s="592" t="str">
        <f>CONCATENATE(B3,C9)</f>
        <v>e</v>
      </c>
      <c r="E9" s="593" t="s">
        <v>942</v>
      </c>
      <c r="F9" s="592"/>
      <c r="G9" s="594" t="e">
        <f>VLOOKUP($D$9,'2425 MFG Protection'!$B$4:$O$197,5,(FALSE))</f>
        <v>#N/A</v>
      </c>
      <c r="H9" s="594" t="e">
        <f>VLOOKUP($D$9,'2425 MFG Protection'!$B$4:$O$197,6,(FALSE))</f>
        <v>#N/A</v>
      </c>
      <c r="I9" s="594" t="e">
        <f>VLOOKUP($D$9,'2425 MFG Protection'!$B$4:$O$197,7,(FALSE))</f>
        <v>#N/A</v>
      </c>
      <c r="J9" s="594" t="e">
        <f>VLOOKUP($D$9,'2425 MFG Protection'!$B$4:$O$197,8,(FALSE))</f>
        <v>#N/A</v>
      </c>
      <c r="K9" s="594" t="e">
        <f>VLOOKUP($D$9,'2425 MFG Protection'!$B$4:$O$197,9,(FALSE))</f>
        <v>#N/A</v>
      </c>
      <c r="L9" s="594" t="e">
        <f>VLOOKUP($D$9,'2425 MFG Protection'!$B$4:$O$197,10,(FALSE))</f>
        <v>#N/A</v>
      </c>
      <c r="M9" s="592"/>
      <c r="N9" s="395">
        <v>2</v>
      </c>
      <c r="O9" s="659"/>
    </row>
    <row r="10" spans="1:16" x14ac:dyDescent="0.35">
      <c r="C10" s="592" t="s">
        <v>353</v>
      </c>
      <c r="D10" s="592" t="str">
        <f>CONCATENATE(B3,C10)</f>
        <v>b</v>
      </c>
      <c r="E10" s="595" t="s">
        <v>410</v>
      </c>
      <c r="F10" s="592"/>
      <c r="G10" s="596" t="e">
        <f>VLOOKUP($D$10,'2425 MFG Protection'!$B$4:$O$197,5,(FALSE))</f>
        <v>#N/A</v>
      </c>
      <c r="H10" s="596" t="e">
        <f>VLOOKUP($D$10,'2425 MFG Protection'!$B$4:$O$197,6,(FALSE))</f>
        <v>#N/A</v>
      </c>
      <c r="I10" s="596" t="e">
        <f>VLOOKUP($D$10,'2425 MFG Protection'!$B$4:$O$197,7,(FALSE))</f>
        <v>#N/A</v>
      </c>
      <c r="J10" s="596" t="e">
        <f>VLOOKUP($D$10,'2425 MFG Protection'!$B$4:$O$197,8,(FALSE))</f>
        <v>#N/A</v>
      </c>
      <c r="K10" s="596" t="e">
        <f>VLOOKUP($D$10,'2425 MFG Protection'!$B$4:$O$197,9,(FALSE))</f>
        <v>#N/A</v>
      </c>
      <c r="L10" s="596" t="e">
        <f>VLOOKUP($D$10,'2425 MFG Protection'!$B$4:$O$197,10,(FALSE))</f>
        <v>#N/A</v>
      </c>
      <c r="M10" s="592"/>
      <c r="N10" s="395">
        <v>3</v>
      </c>
      <c r="O10" s="659"/>
    </row>
    <row r="11" spans="1:16" x14ac:dyDescent="0.35">
      <c r="C11" s="592" t="s">
        <v>404</v>
      </c>
      <c r="D11" s="592" t="str">
        <f>CONCATENATE(B3,C11)</f>
        <v>d</v>
      </c>
      <c r="E11" s="613" t="s">
        <v>943</v>
      </c>
      <c r="F11" s="591"/>
      <c r="G11" s="614" t="e">
        <f>VLOOKUP($D$11,'2425 MFG Protection'!$B$4:$O$197,5,(FALSE))</f>
        <v>#N/A</v>
      </c>
      <c r="H11" s="614" t="e">
        <f>VLOOKUP($D$11,'2425 MFG Protection'!$B$4:$O$197,6,(FALSE))</f>
        <v>#N/A</v>
      </c>
      <c r="I11" s="614" t="e">
        <f>VLOOKUP($D$11,'2425 MFG Protection'!$B$4:$O$197,7,(FALSE))</f>
        <v>#N/A</v>
      </c>
      <c r="J11" s="614" t="e">
        <f>VLOOKUP($D$11,'2425 MFG Protection'!$B$4:$O$197,8,(FALSE))</f>
        <v>#N/A</v>
      </c>
      <c r="K11" s="614" t="e">
        <f>VLOOKUP($D$11,'2425 MFG Protection'!$B$4:$O$197,9,(FALSE))</f>
        <v>#N/A</v>
      </c>
      <c r="L11" s="614" t="e">
        <f>VLOOKUP($D$11,'2425 MFG Protection'!$B$4:$O$197,10,(FALSE))</f>
        <v>#N/A</v>
      </c>
      <c r="M11" s="592"/>
      <c r="N11" s="395">
        <v>4</v>
      </c>
      <c r="O11" s="591" t="s">
        <v>944</v>
      </c>
      <c r="P11" s="395">
        <v>6</v>
      </c>
    </row>
    <row r="12" spans="1:16" x14ac:dyDescent="0.35">
      <c r="C12" s="592" t="s">
        <v>357</v>
      </c>
      <c r="D12" s="592" t="str">
        <f>CONCATENATE(B3,C12)</f>
        <v>c</v>
      </c>
      <c r="E12" s="595" t="s">
        <v>412</v>
      </c>
      <c r="F12" s="592"/>
      <c r="G12" s="596" t="e">
        <f>VLOOKUP($D$12,'2425 MFG Protection'!$B$4:$O$197,5,(FALSE))</f>
        <v>#N/A</v>
      </c>
      <c r="H12" s="596" t="e">
        <f>VLOOKUP($D$12,'2425 MFG Protection'!$B$4:$O$197,6,(FALSE))</f>
        <v>#N/A</v>
      </c>
      <c r="I12" s="596" t="e">
        <f>VLOOKUP($D$12,'2425 MFG Protection'!$B$4:$O$197,7,(FALSE))</f>
        <v>#N/A</v>
      </c>
      <c r="J12" s="596" t="e">
        <f>VLOOKUP($D$12,'2425 MFG Protection'!$B$4:$O$197,8,(FALSE))</f>
        <v>#N/A</v>
      </c>
      <c r="K12" s="596" t="e">
        <f>VLOOKUP($D$12,'2425 MFG Protection'!$B$4:$O$197,9,(FALSE))</f>
        <v>#N/A</v>
      </c>
      <c r="L12" s="596" t="e">
        <f>VLOOKUP($D$12,'2425 MFG Protection'!$B$4:$O$197,10,(FALSE))</f>
        <v>#N/A</v>
      </c>
      <c r="M12" s="596"/>
      <c r="O12" s="614" t="e">
        <f>SUM(G12:L12)</f>
        <v>#N/A</v>
      </c>
    </row>
    <row r="13" spans="1:16" x14ac:dyDescent="0.35">
      <c r="G13" s="407"/>
      <c r="L13" s="471"/>
    </row>
    <row r="14" spans="1:16" x14ac:dyDescent="0.35">
      <c r="G14" s="471"/>
    </row>
    <row r="15" spans="1:16" ht="63.75" customHeight="1" x14ac:dyDescent="0.35">
      <c r="A15" s="1016" t="s">
        <v>1144</v>
      </c>
      <c r="B15" s="1033"/>
      <c r="C15" s="1033"/>
      <c r="D15" s="1033"/>
      <c r="E15" s="1033"/>
      <c r="F15" s="1033"/>
      <c r="G15" s="1033"/>
      <c r="H15" s="1033"/>
      <c r="I15" s="1033"/>
      <c r="J15" s="1033"/>
      <c r="K15" s="1033"/>
      <c r="L15" s="1033"/>
      <c r="M15" s="1033"/>
      <c r="N15" s="1033"/>
    </row>
    <row r="16" spans="1:16" x14ac:dyDescent="0.35">
      <c r="A16" s="410"/>
      <c r="B16" s="487"/>
      <c r="C16" s="487"/>
      <c r="D16" s="487"/>
      <c r="E16" s="487"/>
      <c r="F16" s="487"/>
      <c r="G16" s="487"/>
      <c r="H16" s="487"/>
      <c r="I16" s="487"/>
      <c r="J16" s="487"/>
      <c r="K16" s="487"/>
      <c r="L16" s="487"/>
      <c r="M16" s="487"/>
      <c r="N16" s="487"/>
    </row>
    <row r="17" spans="1:14" ht="31.5" customHeight="1" x14ac:dyDescent="0.35">
      <c r="A17" s="1017" t="s">
        <v>1145</v>
      </c>
      <c r="B17" s="1017"/>
      <c r="C17" s="1017"/>
      <c r="D17" s="1017"/>
      <c r="E17" s="1017"/>
      <c r="F17" s="1017"/>
      <c r="G17" s="1017"/>
      <c r="H17" s="1017"/>
      <c r="I17" s="1017"/>
      <c r="J17" s="1017"/>
      <c r="K17" s="1017"/>
      <c r="L17" s="1017"/>
      <c r="M17" s="1017"/>
      <c r="N17" s="1017"/>
    </row>
    <row r="18" spans="1:14" x14ac:dyDescent="0.35">
      <c r="A18" s="512"/>
      <c r="B18" s="512"/>
      <c r="C18" s="512"/>
      <c r="D18" s="512"/>
      <c r="E18" s="512"/>
      <c r="F18" s="512"/>
      <c r="G18" s="512"/>
      <c r="H18" s="512"/>
    </row>
    <row r="19" spans="1:14" ht="47.25" customHeight="1" x14ac:dyDescent="0.35">
      <c r="A19" s="1016" t="s">
        <v>1176</v>
      </c>
      <c r="B19" s="1016"/>
      <c r="C19" s="1016"/>
      <c r="D19" s="1016"/>
      <c r="E19" s="1016"/>
      <c r="F19" s="1016"/>
      <c r="G19" s="1016"/>
      <c r="H19" s="1016"/>
      <c r="I19" s="1016"/>
      <c r="J19" s="1016"/>
      <c r="K19" s="1016"/>
      <c r="L19" s="1016"/>
      <c r="M19" s="1016"/>
      <c r="N19" s="1016"/>
    </row>
    <row r="20" spans="1:14" x14ac:dyDescent="0.35">
      <c r="A20" s="512"/>
      <c r="B20" s="512"/>
      <c r="C20" s="512"/>
      <c r="D20" s="512"/>
      <c r="E20" s="512"/>
      <c r="F20" s="512"/>
      <c r="G20" s="512"/>
      <c r="H20" s="512"/>
    </row>
    <row r="21" spans="1:14" ht="39.65" customHeight="1" x14ac:dyDescent="0.35">
      <c r="A21" s="1016" t="s">
        <v>1188</v>
      </c>
      <c r="B21" s="1016"/>
      <c r="C21" s="1016"/>
      <c r="D21" s="1016"/>
      <c r="E21" s="1016"/>
      <c r="F21" s="1016"/>
      <c r="G21" s="1016"/>
      <c r="H21" s="1016"/>
      <c r="I21" s="1016"/>
      <c r="J21" s="1016"/>
      <c r="K21" s="1016"/>
      <c r="L21" s="1016"/>
      <c r="M21" s="1016"/>
      <c r="N21" s="1016"/>
    </row>
    <row r="22" spans="1:14" ht="40.5" customHeight="1" x14ac:dyDescent="0.35">
      <c r="A22" s="1016"/>
      <c r="B22" s="1016"/>
      <c r="C22" s="1016"/>
      <c r="D22" s="1016"/>
      <c r="E22" s="1016"/>
      <c r="F22" s="1016"/>
      <c r="G22" s="1016"/>
      <c r="H22" s="1016"/>
      <c r="I22" s="1016"/>
      <c r="J22" s="1016"/>
      <c r="K22" s="1016"/>
      <c r="L22" s="1016"/>
      <c r="M22" s="1016"/>
      <c r="N22" s="1016"/>
    </row>
    <row r="23" spans="1:14" x14ac:dyDescent="0.35">
      <c r="A23" s="514"/>
      <c r="B23" s="514"/>
      <c r="C23" s="514"/>
      <c r="D23" s="514"/>
      <c r="E23" s="514"/>
      <c r="F23" s="514"/>
      <c r="G23" s="514"/>
      <c r="H23" s="514"/>
    </row>
    <row r="24" spans="1:14" ht="31.5" customHeight="1" x14ac:dyDescent="0.35">
      <c r="A24" s="1016" t="s">
        <v>1189</v>
      </c>
      <c r="B24" s="1016"/>
      <c r="C24" s="1016"/>
      <c r="D24" s="1016"/>
      <c r="E24" s="1016"/>
      <c r="F24" s="1016"/>
      <c r="G24" s="1016"/>
      <c r="H24" s="1016"/>
      <c r="I24" s="1033"/>
      <c r="J24" s="1033"/>
      <c r="K24" s="1033"/>
      <c r="L24" s="1033"/>
      <c r="M24" s="1033"/>
      <c r="N24" s="1033"/>
    </row>
    <row r="25" spans="1:14" x14ac:dyDescent="0.35">
      <c r="A25" s="514"/>
      <c r="B25" s="514"/>
      <c r="C25" s="514"/>
      <c r="D25" s="514"/>
      <c r="E25" s="514"/>
      <c r="F25" s="514"/>
      <c r="G25" s="514"/>
      <c r="H25" s="514"/>
    </row>
    <row r="26" spans="1:14" ht="31.5" customHeight="1" x14ac:dyDescent="0.35">
      <c r="A26" s="1034" t="s">
        <v>1146</v>
      </c>
      <c r="B26" s="1034"/>
      <c r="C26" s="1034"/>
      <c r="D26" s="1034"/>
      <c r="E26" s="1034"/>
      <c r="F26" s="1034"/>
      <c r="G26" s="1034"/>
      <c r="H26" s="1034"/>
      <c r="I26" s="1033"/>
      <c r="J26" s="1033"/>
      <c r="K26" s="1033"/>
      <c r="L26" s="1033"/>
      <c r="M26" s="1033"/>
      <c r="N26" s="1033"/>
    </row>
    <row r="27" spans="1:14" x14ac:dyDescent="0.35">
      <c r="A27" s="512"/>
      <c r="B27" s="410"/>
      <c r="C27" s="410"/>
      <c r="D27" s="410"/>
      <c r="E27" s="410"/>
      <c r="F27" s="410"/>
      <c r="G27" s="410"/>
      <c r="H27" s="410"/>
    </row>
  </sheetData>
  <sheetProtection algorithmName="SHA-512" hashValue="CoSajee7k2IZY2LuG503Fpd/kp+G6M8ef/izCULngWsTYRJex3GgSAYr/S9eW8gj1CFAQ8sn1vKAo3DXxC6gnA==" saltValue="BI4FqclBNO/mItftwpC2tQ==" spinCount="100000" sheet="1" objects="1" scenarios="1"/>
  <mergeCells count="6">
    <mergeCell ref="A15:N15"/>
    <mergeCell ref="A24:N24"/>
    <mergeCell ref="A26:N26"/>
    <mergeCell ref="A21:N22"/>
    <mergeCell ref="A19:N19"/>
    <mergeCell ref="A17:N17"/>
  </mergeCells>
  <pageMargins left="0.70866141732283472" right="0.70866141732283472" top="0.74803149606299213" bottom="0.74803149606299213" header="0.31496062992125984" footer="0.31496062992125984"/>
  <pageSetup paperSize="9" scale="73" orientation="landscape" r:id="rId1"/>
  <headerFooter>
    <oddHeader>&amp;CLincolnshire County Council</oddHeader>
    <oddFooter>&amp;C2024/25 Special School Budget Share Calculation
Local Protection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AF59-BA17-4764-BF54-8A9E35F65FEC}">
  <sheetPr>
    <tabColor rgb="FFFFFF00"/>
    <pageSetUpPr fitToPage="1"/>
  </sheetPr>
  <dimension ref="A1:N28"/>
  <sheetViews>
    <sheetView zoomScaleNormal="100" workbookViewId="0">
      <selection activeCell="B3" sqref="B3"/>
    </sheetView>
  </sheetViews>
  <sheetFormatPr defaultColWidth="8.7265625" defaultRowHeight="15.5" x14ac:dyDescent="0.35"/>
  <cols>
    <col min="1" max="1" width="8.7265625" style="395"/>
    <col min="2" max="2" width="14.54296875" style="395" customWidth="1"/>
    <col min="3" max="3" width="24.26953125" style="395" customWidth="1"/>
    <col min="4" max="11" width="14.54296875" style="395" customWidth="1"/>
    <col min="12" max="12" width="22.7265625" style="395" customWidth="1"/>
    <col min="13" max="13" width="28.7265625" style="395" customWidth="1"/>
    <col min="14" max="14" width="28.81640625" style="395" bestFit="1" customWidth="1"/>
    <col min="15" max="16384" width="8.7265625" style="395"/>
  </cols>
  <sheetData>
    <row r="1" spans="1:13" x14ac:dyDescent="0.35">
      <c r="A1" s="521" t="s">
        <v>1173</v>
      </c>
    </row>
    <row r="3" spans="1:13" x14ac:dyDescent="0.35">
      <c r="A3" s="414" t="s">
        <v>21</v>
      </c>
      <c r="B3" s="415"/>
      <c r="D3" s="406"/>
      <c r="E3" s="406"/>
      <c r="F3" s="406"/>
      <c r="G3" s="411" t="e">
        <f>VLOOKUP(B3,'2223 Funding Detail'!A1:AN22,2,FALSE)</f>
        <v>#N/A</v>
      </c>
    </row>
    <row r="4" spans="1:13" x14ac:dyDescent="0.35">
      <c r="A4" s="414"/>
      <c r="B4" s="736"/>
      <c r="D4" s="406"/>
      <c r="E4" s="406"/>
      <c r="F4" s="406"/>
      <c r="G4" s="411"/>
    </row>
    <row r="5" spans="1:13" ht="15.65" customHeight="1" x14ac:dyDescent="0.35">
      <c r="A5" s="1035" t="s">
        <v>1174</v>
      </c>
      <c r="B5" s="1035"/>
      <c r="C5" s="1035"/>
      <c r="D5" s="1035"/>
      <c r="E5" s="1035"/>
      <c r="F5" s="1035"/>
      <c r="G5" s="1035"/>
      <c r="H5" s="1035"/>
      <c r="I5" s="1035"/>
      <c r="J5" s="1035"/>
      <c r="K5" s="1035"/>
      <c r="L5" s="1035"/>
    </row>
    <row r="6" spans="1:13" x14ac:dyDescent="0.35">
      <c r="A6" s="1035"/>
      <c r="B6" s="1035"/>
      <c r="C6" s="1035"/>
      <c r="D6" s="1035"/>
      <c r="E6" s="1035"/>
      <c r="F6" s="1035"/>
      <c r="G6" s="1035"/>
      <c r="H6" s="1035"/>
      <c r="I6" s="1035"/>
      <c r="J6" s="1035"/>
      <c r="K6" s="1035"/>
      <c r="L6" s="1035"/>
    </row>
    <row r="7" spans="1:13" x14ac:dyDescent="0.35">
      <c r="A7" s="414"/>
      <c r="B7" s="736"/>
      <c r="D7" s="406"/>
      <c r="E7" s="406"/>
      <c r="F7" s="406"/>
      <c r="G7" s="411"/>
    </row>
    <row r="8" spans="1:13" x14ac:dyDescent="0.35">
      <c r="A8" s="414"/>
      <c r="B8" s="591" t="s">
        <v>406</v>
      </c>
      <c r="C8" s="591" t="s">
        <v>1104</v>
      </c>
      <c r="D8" s="591" t="s">
        <v>229</v>
      </c>
      <c r="E8" s="591" t="s">
        <v>230</v>
      </c>
      <c r="F8" s="591" t="s">
        <v>231</v>
      </c>
      <c r="G8" s="591" t="s">
        <v>232</v>
      </c>
      <c r="H8" s="591" t="s">
        <v>233</v>
      </c>
      <c r="I8" s="591" t="s">
        <v>234</v>
      </c>
      <c r="J8" s="591" t="s">
        <v>235</v>
      </c>
      <c r="L8" s="591" t="s">
        <v>416</v>
      </c>
    </row>
    <row r="9" spans="1:13" x14ac:dyDescent="0.35">
      <c r="A9" s="414"/>
      <c r="B9" s="592" t="s">
        <v>312</v>
      </c>
      <c r="C9" s="737" t="e">
        <f>VLOOKUP(B3,'2425 0% MFG Calculation'!A5:C21,3,FALSE)</f>
        <v>#N/A</v>
      </c>
      <c r="D9" s="733" t="e">
        <f>VLOOKUP($B$3,'2425 0% MFG Calculation'!A5:E21,5,FALSE)</f>
        <v>#N/A</v>
      </c>
      <c r="E9" s="733" t="e">
        <f>VLOOKUP($B$3,'2425 0% MFG Calculation'!A5:F21,6,FALSE)</f>
        <v>#N/A</v>
      </c>
      <c r="F9" s="733" t="e">
        <f>VLOOKUP($B$3,'2425 0% MFG Calculation'!A5:G21,7,FALSE)</f>
        <v>#N/A</v>
      </c>
      <c r="G9" s="733" t="e">
        <f>VLOOKUP($B$3,'2425 0% MFG Calculation'!A5:H21,8,FALSE)</f>
        <v>#N/A</v>
      </c>
      <c r="H9" s="733" t="e">
        <f>VLOOKUP($B$3,'2425 0% MFG Calculation'!A5:I21,9,FALSE)</f>
        <v>#N/A</v>
      </c>
      <c r="I9" s="733" t="e">
        <f>VLOOKUP($B$3,'2425 0% MFG Calculation'!A5:J21,10,FALSE)</f>
        <v>#N/A</v>
      </c>
      <c r="J9" s="733" t="e">
        <f>VLOOKUP($B$3,'2425 0% MFG Calculation'!A5:K21,11,FALSE)</f>
        <v>#N/A</v>
      </c>
      <c r="K9" s="395">
        <v>1</v>
      </c>
      <c r="L9" s="596" t="e">
        <f>VLOOKUP(B3,'2425 0% MFG Calculation'!A5:AC21,29,FALSE)</f>
        <v>#N/A</v>
      </c>
      <c r="M9" s="395">
        <v>4</v>
      </c>
    </row>
    <row r="10" spans="1:13" x14ac:dyDescent="0.35">
      <c r="A10" s="414"/>
      <c r="C10" s="406"/>
      <c r="D10" s="406"/>
      <c r="E10" s="406"/>
      <c r="F10" s="411"/>
      <c r="M10" s="659"/>
    </row>
    <row r="11" spans="1:13" ht="31" x14ac:dyDescent="0.35">
      <c r="B11" s="591" t="s">
        <v>406</v>
      </c>
      <c r="C11" s="591" t="s">
        <v>322</v>
      </c>
      <c r="D11" s="591" t="s">
        <v>413</v>
      </c>
      <c r="E11" s="591" t="s">
        <v>414</v>
      </c>
      <c r="F11" s="591" t="s">
        <v>415</v>
      </c>
      <c r="G11" s="738" t="s">
        <v>195</v>
      </c>
      <c r="H11" s="591" t="s">
        <v>141</v>
      </c>
      <c r="I11" s="734"/>
      <c r="J11" s="591" t="s">
        <v>1190</v>
      </c>
      <c r="K11" s="660"/>
      <c r="L11" s="591" t="s">
        <v>1105</v>
      </c>
    </row>
    <row r="12" spans="1:13" x14ac:dyDescent="0.35">
      <c r="B12" s="592" t="s">
        <v>312</v>
      </c>
      <c r="C12" s="1036" t="e">
        <f>VLOOKUP(B3,'2425 0% MFG Calculation'!A5:D21,4,FALSE)</f>
        <v>#N/A</v>
      </c>
      <c r="D12" s="596" t="e">
        <f>VLOOKUP($B$3,'2425 0% MFG Calculation'!A5:S21,19,FALSE)</f>
        <v>#N/A</v>
      </c>
      <c r="E12" s="596" t="e">
        <f>VLOOKUP($B$3,'2425 0% MFG Calculation'!A5:T21,20,FALSE)</f>
        <v>#N/A</v>
      </c>
      <c r="F12" s="596" t="e">
        <f>VLOOKUP($B$3,'2425 0% MFG Calculation'!A5:U21,21,FALSE)</f>
        <v>#N/A</v>
      </c>
      <c r="G12" s="596" t="e">
        <f>VLOOKUP($B$3,'2425 0% MFG Calculation'!A5:V21,22,FALSE)</f>
        <v>#N/A</v>
      </c>
      <c r="H12" s="596" t="e">
        <f>VLOOKUP($B$3,'2425 0% MFG Calculation'!A5:W21,23,FALSE)</f>
        <v>#N/A</v>
      </c>
      <c r="I12" s="735"/>
      <c r="J12" s="596" t="e">
        <f>VLOOKUP($B$3,'2425 0% MFG Calculation'!A5:AB21,28,FALSE)</f>
        <v>#N/A</v>
      </c>
      <c r="K12" s="473">
        <v>2</v>
      </c>
      <c r="L12" s="596" t="e">
        <f>VLOOKUP(B3,'2425 0% MFG Calculation'!A27:AC43,29,FALSE)</f>
        <v>#N/A</v>
      </c>
      <c r="M12" s="395">
        <v>5</v>
      </c>
    </row>
    <row r="13" spans="1:13" x14ac:dyDescent="0.35">
      <c r="B13" s="592" t="s">
        <v>890</v>
      </c>
      <c r="C13" s="1037"/>
      <c r="D13" s="596" t="e">
        <f>VLOOKUP($B$3,'2425 0% MFG Calculation'!A27:S43,19,FALSE)</f>
        <v>#N/A</v>
      </c>
      <c r="E13" s="596" t="e">
        <f>VLOOKUP($B$3,'2425 0% MFG Calculation'!A27:T43,20,FALSE)</f>
        <v>#N/A</v>
      </c>
      <c r="F13" s="596" t="e">
        <f>VLOOKUP($B$3,'2425 0% MFG Calculation'!A27:U43,21,FALSE)</f>
        <v>#N/A</v>
      </c>
      <c r="G13" s="596" t="e">
        <f>VLOOKUP($B$3,'2425 0% MFG Calculation'!A27:V43,22,FALSE)</f>
        <v>#N/A</v>
      </c>
      <c r="H13" s="596" t="e">
        <f>VLOOKUP($B$3,'2425 0% MFG Calculation'!A27:W43,23,FALSE)</f>
        <v>#N/A</v>
      </c>
      <c r="I13" s="735"/>
      <c r="J13" s="596" t="e">
        <f>VLOOKUP($B$3,'2425 0% MFG Calculation'!A27:AB43,28,FALSE)</f>
        <v>#N/A</v>
      </c>
      <c r="K13" s="473">
        <v>3</v>
      </c>
      <c r="L13" s="753"/>
    </row>
    <row r="14" spans="1:13" ht="46.5" x14ac:dyDescent="0.35">
      <c r="B14" s="659"/>
      <c r="C14" s="732"/>
      <c r="D14" s="659"/>
      <c r="E14" s="658"/>
      <c r="F14" s="658"/>
      <c r="G14" s="658"/>
      <c r="H14" s="658"/>
      <c r="I14" s="658"/>
      <c r="J14" s="660"/>
      <c r="K14" s="660"/>
      <c r="L14" s="738" t="s">
        <v>1106</v>
      </c>
    </row>
    <row r="15" spans="1:13" x14ac:dyDescent="0.35">
      <c r="J15" s="407"/>
      <c r="L15" s="754" t="e">
        <f>VLOOKUP(B3,'2425 0% MFG Calculation'!A5:AH21,34,FALSE)</f>
        <v>#N/A</v>
      </c>
      <c r="M15" s="395">
        <v>6</v>
      </c>
    </row>
    <row r="16" spans="1:13" x14ac:dyDescent="0.35">
      <c r="J16" s="407"/>
    </row>
    <row r="17" spans="1:14" ht="25" customHeight="1" x14ac:dyDescent="0.35">
      <c r="A17" s="1016" t="s">
        <v>1147</v>
      </c>
      <c r="B17" s="1016"/>
      <c r="C17" s="1016"/>
      <c r="D17" s="1016"/>
      <c r="E17" s="1016"/>
      <c r="F17" s="1016"/>
      <c r="G17" s="1016"/>
      <c r="H17" s="1016"/>
      <c r="I17" s="1016"/>
      <c r="J17" s="1016"/>
      <c r="K17" s="1016"/>
      <c r="L17" s="1016"/>
      <c r="M17" s="410"/>
    </row>
    <row r="18" spans="1:14" x14ac:dyDescent="0.35">
      <c r="A18" s="410"/>
      <c r="B18" s="487"/>
      <c r="C18" s="512"/>
      <c r="D18" s="512"/>
      <c r="E18" s="512"/>
      <c r="F18" s="512"/>
      <c r="G18" s="512"/>
      <c r="H18" s="512"/>
      <c r="M18" s="487"/>
    </row>
    <row r="19" spans="1:14" ht="31.5" customHeight="1" x14ac:dyDescent="0.35">
      <c r="A19" s="1016" t="s">
        <v>1148</v>
      </c>
      <c r="B19" s="1016"/>
      <c r="C19" s="1016"/>
      <c r="D19" s="1016"/>
      <c r="E19" s="1016"/>
      <c r="F19" s="1016"/>
      <c r="G19" s="1016"/>
      <c r="H19" s="1016"/>
      <c r="I19" s="1016"/>
      <c r="J19" s="1016"/>
      <c r="K19" s="1016"/>
      <c r="L19" s="1016"/>
      <c r="M19" s="409"/>
      <c r="N19" s="409"/>
    </row>
    <row r="20" spans="1:14" x14ac:dyDescent="0.35">
      <c r="A20" s="512"/>
      <c r="B20" s="512"/>
      <c r="C20" s="512"/>
      <c r="D20" s="512"/>
      <c r="E20" s="512"/>
      <c r="F20" s="512"/>
      <c r="G20" s="512"/>
      <c r="H20" s="512"/>
    </row>
    <row r="21" spans="1:14" ht="47.25" customHeight="1" x14ac:dyDescent="0.35">
      <c r="A21" s="1016" t="s">
        <v>1149</v>
      </c>
      <c r="B21" s="1016"/>
      <c r="C21" s="1016"/>
      <c r="D21" s="1016"/>
      <c r="E21" s="1016"/>
      <c r="F21" s="1016"/>
      <c r="G21" s="1016"/>
      <c r="H21" s="1016"/>
      <c r="I21" s="1016"/>
      <c r="J21" s="1016"/>
      <c r="K21" s="1016"/>
      <c r="L21" s="1016"/>
      <c r="M21" s="410"/>
    </row>
    <row r="22" spans="1:14" x14ac:dyDescent="0.35">
      <c r="A22" s="512"/>
      <c r="B22" s="512"/>
      <c r="C22" s="410"/>
      <c r="D22" s="410"/>
      <c r="E22" s="410"/>
      <c r="F22" s="410"/>
      <c r="G22" s="410"/>
      <c r="H22" s="410"/>
      <c r="I22" s="410"/>
      <c r="J22" s="410"/>
      <c r="K22" s="410"/>
      <c r="L22" s="410"/>
    </row>
    <row r="23" spans="1:14" ht="34.5" customHeight="1" x14ac:dyDescent="0.35">
      <c r="A23" s="1016" t="s">
        <v>1150</v>
      </c>
      <c r="B23" s="1016"/>
      <c r="C23" s="1016"/>
      <c r="D23" s="1016"/>
      <c r="E23" s="1016"/>
      <c r="F23" s="1016"/>
      <c r="G23" s="1016"/>
      <c r="H23" s="1016"/>
      <c r="I23" s="1016"/>
      <c r="J23" s="1016"/>
      <c r="K23" s="1016"/>
      <c r="L23" s="1016"/>
      <c r="M23" s="410"/>
    </row>
    <row r="24" spans="1:14" x14ac:dyDescent="0.35">
      <c r="A24" s="514"/>
      <c r="B24" s="514"/>
      <c r="C24" s="514"/>
      <c r="D24" s="514"/>
      <c r="E24" s="514"/>
      <c r="F24" s="514"/>
      <c r="G24" s="514"/>
      <c r="H24" s="514"/>
    </row>
    <row r="25" spans="1:14" ht="46.5" customHeight="1" x14ac:dyDescent="0.35">
      <c r="A25" s="1016" t="s">
        <v>1151</v>
      </c>
      <c r="B25" s="1016"/>
      <c r="C25" s="1016"/>
      <c r="D25" s="1016"/>
      <c r="E25" s="1016"/>
      <c r="F25" s="1016"/>
      <c r="G25" s="1016"/>
      <c r="H25" s="1016"/>
      <c r="I25" s="1016"/>
      <c r="J25" s="1016"/>
      <c r="K25" s="1016"/>
      <c r="L25" s="1016"/>
      <c r="M25" s="410"/>
    </row>
    <row r="26" spans="1:14" x14ac:dyDescent="0.35">
      <c r="A26" s="514"/>
      <c r="B26" s="514"/>
      <c r="C26" s="410"/>
      <c r="D26" s="410"/>
      <c r="E26" s="410"/>
      <c r="F26" s="410"/>
      <c r="G26" s="410"/>
      <c r="H26" s="410"/>
    </row>
    <row r="27" spans="1:14" ht="46.5" customHeight="1" x14ac:dyDescent="0.35">
      <c r="A27" s="1016" t="s">
        <v>1175</v>
      </c>
      <c r="B27" s="1016"/>
      <c r="C27" s="1016"/>
      <c r="D27" s="1016"/>
      <c r="E27" s="1016"/>
      <c r="F27" s="1016"/>
      <c r="G27" s="1016"/>
      <c r="H27" s="1016"/>
      <c r="I27" s="1016"/>
      <c r="J27" s="1016"/>
      <c r="K27" s="1016"/>
      <c r="L27" s="1016"/>
      <c r="M27" s="702"/>
    </row>
    <row r="28" spans="1:14" x14ac:dyDescent="0.35">
      <c r="A28" s="512"/>
      <c r="B28" s="410"/>
    </row>
  </sheetData>
  <sheetProtection algorithmName="SHA-512" hashValue="bGwwzUj3gopcqDv1nBJukN9vM7L7HtmyLJIdEICjxWAq4e4Lrpk15Wff4RGX+EMFaxOone/ITrFS8A/1xA4gKQ==" saltValue="q0v5m3wuNpQphaFVoHSqrw==" spinCount="100000" sheet="1" objects="1" scenarios="1"/>
  <mergeCells count="8">
    <mergeCell ref="A25:L25"/>
    <mergeCell ref="A27:L27"/>
    <mergeCell ref="A19:L19"/>
    <mergeCell ref="A5:L6"/>
    <mergeCell ref="C12:C13"/>
    <mergeCell ref="A17:L17"/>
    <mergeCell ref="A21:L21"/>
    <mergeCell ref="A23:L23"/>
  </mergeCells>
  <pageMargins left="0.7" right="0.7" top="0.75" bottom="0.75" header="0.3" footer="0.3"/>
  <pageSetup scale="58" orientation="landscape" horizontalDpi="90" verticalDpi="90" r:id="rId1"/>
  <headerFooter>
    <oddHeader>&amp;CLincolnshire County Council</oddHeader>
    <oddFooter>&amp;C2023/24 Special School Budget Share Calculation
MFG DfE Protection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E3083-2710-4C37-BC71-77F561FC21F7}">
  <sheetPr>
    <tabColor rgb="FFFFC000"/>
  </sheetPr>
  <dimension ref="A2:AS164"/>
  <sheetViews>
    <sheetView topLeftCell="R1" workbookViewId="0">
      <selection activeCell="AH5" sqref="AH5:AH21"/>
    </sheetView>
  </sheetViews>
  <sheetFormatPr defaultRowHeight="12.5" x14ac:dyDescent="0.25"/>
  <cols>
    <col min="2" max="2" width="29.453125" customWidth="1"/>
    <col min="3" max="3" width="10.1796875" style="583" bestFit="1" customWidth="1"/>
    <col min="4" max="4" width="21.54296875" style="583" customWidth="1"/>
    <col min="5" max="5" width="10.1796875" style="583" bestFit="1" customWidth="1"/>
    <col min="6" max="6" width="10" style="583" bestFit="1" customWidth="1"/>
    <col min="7" max="7" width="9" style="583" bestFit="1" customWidth="1"/>
    <col min="8" max="9" width="9.26953125" style="583" bestFit="1" customWidth="1"/>
    <col min="10" max="10" width="10" style="583" bestFit="1" customWidth="1"/>
    <col min="11" max="11" width="9.26953125" style="583" bestFit="1" customWidth="1"/>
    <col min="12" max="13" width="9.453125" style="583" customWidth="1"/>
    <col min="14" max="18" width="9.26953125" style="583" customWidth="1"/>
    <col min="19" max="19" width="11.54296875" style="583" bestFit="1" customWidth="1"/>
    <col min="20" max="20" width="10.1796875" style="583" bestFit="1" customWidth="1"/>
    <col min="21" max="22" width="9.26953125" style="583" bestFit="1" customWidth="1"/>
    <col min="23" max="26" width="11.54296875" style="583" bestFit="1" customWidth="1"/>
    <col min="28" max="28" width="10.1796875" bestFit="1" customWidth="1"/>
    <col min="29" max="29" width="13.81640625" customWidth="1"/>
    <col min="30" max="30" width="16.54296875" style="976" customWidth="1"/>
    <col min="32" max="32" width="10.1796875" bestFit="1" customWidth="1"/>
    <col min="33" max="33" width="11.54296875" bestFit="1" customWidth="1"/>
  </cols>
  <sheetData>
    <row r="2" spans="1:35" ht="25" x14ac:dyDescent="0.5">
      <c r="A2" s="1039" t="s">
        <v>1110</v>
      </c>
      <c r="B2" s="1039"/>
      <c r="C2" s="59" t="s">
        <v>1111</v>
      </c>
      <c r="AC2" s="174"/>
      <c r="AD2" s="973"/>
    </row>
    <row r="3" spans="1:35" ht="37.5" x14ac:dyDescent="0.25">
      <c r="C3" s="367" t="s">
        <v>1112</v>
      </c>
      <c r="D3" s="974" t="s">
        <v>322</v>
      </c>
      <c r="E3" s="73" t="s">
        <v>280</v>
      </c>
      <c r="F3" s="73" t="s">
        <v>281</v>
      </c>
      <c r="G3" s="73" t="s">
        <v>282</v>
      </c>
      <c r="H3" s="73" t="s">
        <v>283</v>
      </c>
      <c r="I3" s="73" t="s">
        <v>284</v>
      </c>
      <c r="J3" s="73" t="s">
        <v>285</v>
      </c>
      <c r="K3" s="73" t="s">
        <v>286</v>
      </c>
      <c r="L3" s="73" t="s">
        <v>229</v>
      </c>
      <c r="M3" s="73" t="s">
        <v>230</v>
      </c>
      <c r="N3" s="73" t="s">
        <v>231</v>
      </c>
      <c r="O3" s="73" t="s">
        <v>232</v>
      </c>
      <c r="P3" s="73" t="s">
        <v>233</v>
      </c>
      <c r="Q3" s="73" t="s">
        <v>234</v>
      </c>
      <c r="R3" s="73" t="s">
        <v>235</v>
      </c>
      <c r="S3" s="73" t="s">
        <v>413</v>
      </c>
      <c r="T3" s="73" t="s">
        <v>1113</v>
      </c>
      <c r="U3" s="73" t="s">
        <v>1114</v>
      </c>
      <c r="V3" s="73" t="s">
        <v>1115</v>
      </c>
      <c r="W3" s="73" t="s">
        <v>54</v>
      </c>
      <c r="X3" s="996" t="s">
        <v>1116</v>
      </c>
      <c r="Y3" s="73" t="s">
        <v>198</v>
      </c>
      <c r="Z3" s="73" t="s">
        <v>1117</v>
      </c>
      <c r="AA3" s="73" t="s">
        <v>1118</v>
      </c>
      <c r="AB3" s="73" t="s">
        <v>1119</v>
      </c>
      <c r="AC3" s="73" t="s">
        <v>1120</v>
      </c>
      <c r="AD3" s="975"/>
      <c r="AE3" s="367" t="s">
        <v>1121</v>
      </c>
      <c r="AF3" s="9" t="s">
        <v>1177</v>
      </c>
      <c r="AG3" s="73" t="s">
        <v>1122</v>
      </c>
      <c r="AH3" s="1006" t="s">
        <v>1121</v>
      </c>
      <c r="AI3" s="9" t="s">
        <v>1177</v>
      </c>
    </row>
    <row r="4" spans="1:35" x14ac:dyDescent="0.25">
      <c r="C4" s="974"/>
      <c r="D4" s="974"/>
      <c r="E4" s="73"/>
      <c r="F4" s="73"/>
      <c r="G4" s="73"/>
      <c r="H4" s="73"/>
      <c r="I4" s="73"/>
      <c r="J4" s="73"/>
      <c r="K4" s="73"/>
      <c r="L4" s="73"/>
      <c r="M4" s="73"/>
      <c r="N4" s="73"/>
      <c r="O4" s="73"/>
      <c r="P4" s="73"/>
      <c r="Q4" s="73"/>
      <c r="R4" s="73"/>
      <c r="S4" s="73"/>
      <c r="T4" s="73"/>
      <c r="U4" s="73"/>
      <c r="V4" s="73"/>
      <c r="W4" s="73"/>
      <c r="X4" s="996"/>
      <c r="Y4" s="73"/>
      <c r="Z4" s="73"/>
      <c r="AA4" s="73"/>
      <c r="AB4" s="73"/>
      <c r="AC4" s="73"/>
      <c r="AD4" s="975"/>
      <c r="AE4" s="367"/>
      <c r="AF4" s="583"/>
      <c r="AG4" s="583"/>
      <c r="AH4" s="1007"/>
      <c r="AI4" s="583"/>
    </row>
    <row r="5" spans="1:35" ht="25" x14ac:dyDescent="0.25">
      <c r="A5" s="33">
        <v>9257010</v>
      </c>
      <c r="B5" t="s">
        <v>333</v>
      </c>
      <c r="C5" s="977">
        <f>'2324 Funding Detail'!M4</f>
        <v>139.33333333333334</v>
      </c>
      <c r="D5" s="977" t="str">
        <f>'2324 Funding Detail'!C4</f>
        <v>School Size 5 Transition Point</v>
      </c>
      <c r="E5" s="978">
        <f>'2324 Band Calculations'!D6</f>
        <v>0.10738255033557047</v>
      </c>
      <c r="F5" s="978">
        <f>'2324 Band Calculations'!E6</f>
        <v>0.44966442953020136</v>
      </c>
      <c r="G5" s="978">
        <f>'2324 Band Calculations'!F6</f>
        <v>6.0402684563758392E-2</v>
      </c>
      <c r="H5" s="978">
        <f>'2324 Band Calculations'!G6</f>
        <v>0.16107382550335569</v>
      </c>
      <c r="I5" s="978">
        <f>'2324 Band Calculations'!H6</f>
        <v>7.3825503355704702E-2</v>
      </c>
      <c r="J5" s="978">
        <f>'2324 Band Calculations'!I6</f>
        <v>6.7114093959731544E-2</v>
      </c>
      <c r="K5" s="978">
        <f>'2324 Band Calculations'!J6</f>
        <v>8.0536912751677847E-2</v>
      </c>
      <c r="L5" s="979">
        <f>'2324 Band Calculations'!G88</f>
        <v>6630</v>
      </c>
      <c r="M5" s="979">
        <f>'2324 Band Calculations'!G90</f>
        <v>7894</v>
      </c>
      <c r="N5" s="979">
        <f>'2324 Band Calculations'!G92</f>
        <v>15567</v>
      </c>
      <c r="O5" s="979">
        <f>'2324 Band Calculations'!G94</f>
        <v>15892</v>
      </c>
      <c r="P5" s="979">
        <v>15892</v>
      </c>
      <c r="Q5" s="979">
        <f>'2324 Band Calculations'!G98</f>
        <v>17018</v>
      </c>
      <c r="R5" s="979">
        <f>'2324 Band Calculations'!G100</f>
        <v>24406</v>
      </c>
      <c r="S5" s="979">
        <f>'2324 Funding Detail'!H4</f>
        <v>1677940.8366890382</v>
      </c>
      <c r="T5" s="979">
        <f>'2324 Funding Detail'!D4+'2324 Funding Detail'!E4</f>
        <v>660518.40000000002</v>
      </c>
      <c r="U5" s="979">
        <f>VLOOKUP(A5,'2324 FSM Calculation'!$A$4:$D$20,4,FALSE)</f>
        <v>23073.599999999999</v>
      </c>
      <c r="V5" s="979">
        <f>VLOOKUP(A5,'2324 Funding Detail'!$A$4:$Q$20,17,FALSE)</f>
        <v>2325.8415308553208</v>
      </c>
      <c r="W5" s="979">
        <f>VLOOKUP(A5,'2324 Funding Detail'!A4:R20,18,FALSE)</f>
        <v>2363858.6782198935</v>
      </c>
      <c r="X5" s="998">
        <v>1737106.0663593882</v>
      </c>
      <c r="Y5" s="979">
        <f>'2324 Funding Detail'!V4</f>
        <v>1393333.3333333335</v>
      </c>
      <c r="Z5" s="979">
        <f>'2324 Funding Detail'!Z4</f>
        <v>970525.34488655999</v>
      </c>
      <c r="AA5" s="979">
        <f>'2324 Funding Detail'!U4</f>
        <v>16965.492905884403</v>
      </c>
      <c r="AB5" s="7">
        <f>VLOOKUP(A5,'[14]2122 Pay &amp; Pension Allocations'!A56:V73,22,(FALSE))</f>
        <v>65551.014693693302</v>
      </c>
      <c r="AC5" s="7">
        <f>W5-AB5</f>
        <v>2298307.6635262002</v>
      </c>
      <c r="AD5" s="975"/>
      <c r="AE5" s="980">
        <f>(W27-W5)/W5</f>
        <v>4.322196792014573E-2</v>
      </c>
      <c r="AF5" t="b">
        <f t="shared" ref="AF5:AF21" si="0">IF(AE5&gt;0%,(TRUE),(FALSE))</f>
        <v>1</v>
      </c>
      <c r="AG5" s="981">
        <f>AC27</f>
        <v>2400478.2874839786</v>
      </c>
      <c r="AH5" s="1008">
        <f>(AG5-AC5)/AC5</f>
        <v>4.4454720131343113E-2</v>
      </c>
      <c r="AI5" t="b">
        <f t="shared" ref="AI5:AI21" si="1">IF(AH5&gt;0%,(TRUE),(FALSE))</f>
        <v>1</v>
      </c>
    </row>
    <row r="6" spans="1:35" x14ac:dyDescent="0.25">
      <c r="A6" s="33">
        <v>9257005</v>
      </c>
      <c r="B6" t="s">
        <v>259</v>
      </c>
      <c r="C6" s="977">
        <f>'2324 Funding Detail'!M5</f>
        <v>79.75</v>
      </c>
      <c r="D6" s="977" t="str">
        <f>'2324 Funding Detail'!C5</f>
        <v>School Size 4</v>
      </c>
      <c r="E6" s="978">
        <f>'2324 Band Calculations'!D7</f>
        <v>8.4507042253521125E-2</v>
      </c>
      <c r="F6" s="978">
        <f>'2324 Band Calculations'!E7</f>
        <v>0.352112676056338</v>
      </c>
      <c r="G6" s="978">
        <f>'2324 Band Calculations'!F7</f>
        <v>8.4507042253521125E-2</v>
      </c>
      <c r="H6" s="978">
        <f>'2324 Band Calculations'!G7</f>
        <v>0.12676056338028169</v>
      </c>
      <c r="I6" s="978">
        <f>'2324 Band Calculations'!H7</f>
        <v>0.11267605633802817</v>
      </c>
      <c r="J6" s="978">
        <f>'2324 Band Calculations'!I7</f>
        <v>0.16901408450704225</v>
      </c>
      <c r="K6" s="978">
        <f>'2324 Band Calculations'!J7</f>
        <v>7.0422535211267609E-2</v>
      </c>
      <c r="L6" s="979">
        <v>6630</v>
      </c>
      <c r="M6" s="979">
        <v>7894</v>
      </c>
      <c r="N6" s="979">
        <v>15567</v>
      </c>
      <c r="O6" s="979">
        <v>15892</v>
      </c>
      <c r="P6" s="979">
        <v>15892</v>
      </c>
      <c r="Q6" s="979">
        <v>17018</v>
      </c>
      <c r="R6" s="979">
        <v>24406</v>
      </c>
      <c r="S6" s="979">
        <f>'2324 Funding Detail'!H5</f>
        <v>1041177.809859155</v>
      </c>
      <c r="T6" s="979">
        <f>'2324 Funding Detail'!D5+'2324 Funding Detail'!E5</f>
        <v>516153.60000000003</v>
      </c>
      <c r="U6" s="979">
        <f>VLOOKUP(A6,'2324 FSM Calculation'!$A$4:$D$20,4,FALSE)</f>
        <v>10575.4</v>
      </c>
      <c r="V6" s="979">
        <f>VLOOKUP(A6,'2324 Funding Detail'!$A$4:$Q$20,17,FALSE)</f>
        <v>0</v>
      </c>
      <c r="W6" s="979">
        <f>VLOOKUP(A6,'2324 Funding Detail'!A5:R21,18,FALSE)</f>
        <v>1567906.809859155</v>
      </c>
      <c r="X6" s="998">
        <v>1496549.102121766</v>
      </c>
      <c r="Y6" s="979">
        <f>'2324 Funding Detail'!V5</f>
        <v>797500</v>
      </c>
      <c r="Z6" s="979">
        <f>'2324 Funding Detail'!Z5</f>
        <v>770406.80985915498</v>
      </c>
      <c r="AA6" s="979">
        <f>'2324 Funding Detail'!U5</f>
        <v>19660.273477857743</v>
      </c>
      <c r="AB6" s="7">
        <f>VLOOKUP(A6,'[14]2122 Pay &amp; Pension Allocations'!A57:V74,22,(FALSE))</f>
        <v>64140.621918921053</v>
      </c>
      <c r="AC6" s="7">
        <f t="shared" ref="AC6:AC21" si="2">W6-AB6</f>
        <v>1503766.1879402339</v>
      </c>
      <c r="AD6" s="975"/>
      <c r="AE6" s="980">
        <f t="shared" ref="AE6:AE21" si="3">(W28-W6)/W6</f>
        <v>4.1236119743337414E-2</v>
      </c>
      <c r="AF6" t="b">
        <f t="shared" si="0"/>
        <v>1</v>
      </c>
      <c r="AG6" s="981">
        <f t="shared" ref="AG6:AG21" si="4">AC28</f>
        <v>1568420.5808979801</v>
      </c>
      <c r="AH6" s="1008">
        <f t="shared" ref="AH6:AH21" si="5">(AG6-AC6)/AC6</f>
        <v>4.2994977195428156E-2</v>
      </c>
      <c r="AI6" t="b">
        <f t="shared" si="1"/>
        <v>1</v>
      </c>
    </row>
    <row r="7" spans="1:35" x14ac:dyDescent="0.25">
      <c r="A7" s="33">
        <v>9257025</v>
      </c>
      <c r="B7" t="s">
        <v>260</v>
      </c>
      <c r="C7" s="977">
        <f>'2324 Funding Detail'!M6</f>
        <v>96</v>
      </c>
      <c r="D7" s="977" t="str">
        <f>'2324 Funding Detail'!C6</f>
        <v>School Size 4</v>
      </c>
      <c r="E7" s="978">
        <f>'2324 Band Calculations'!D8</f>
        <v>0.13333333333333333</v>
      </c>
      <c r="F7" s="978">
        <f>'2324 Band Calculations'!E8</f>
        <v>0.53333333333333333</v>
      </c>
      <c r="G7" s="978">
        <f>'2324 Band Calculations'!F8</f>
        <v>4.4444444444444446E-2</v>
      </c>
      <c r="H7" s="978">
        <f>'2324 Band Calculations'!G8</f>
        <v>0.1111111111111111</v>
      </c>
      <c r="I7" s="978">
        <f>'2324 Band Calculations'!H8</f>
        <v>1.1111111111111112E-2</v>
      </c>
      <c r="J7" s="978">
        <f>'2324 Band Calculations'!I8</f>
        <v>0.12222222222222222</v>
      </c>
      <c r="K7" s="978">
        <f>'2324 Band Calculations'!J8</f>
        <v>4.4444444444444446E-2</v>
      </c>
      <c r="L7" s="979">
        <v>6630</v>
      </c>
      <c r="M7" s="979">
        <v>7894</v>
      </c>
      <c r="N7" s="979">
        <v>15567</v>
      </c>
      <c r="O7" s="979">
        <v>15892</v>
      </c>
      <c r="P7" s="979">
        <v>15892</v>
      </c>
      <c r="Q7" s="979">
        <v>17018</v>
      </c>
      <c r="R7" s="979">
        <v>24406</v>
      </c>
      <c r="S7" s="979">
        <f>'2324 Funding Detail'!H6</f>
        <v>1045732.2666666666</v>
      </c>
      <c r="T7" s="979">
        <f>'2324 Funding Detail'!D6+'2324 Funding Detail'!E6</f>
        <v>516153.60000000003</v>
      </c>
      <c r="U7" s="979">
        <f>VLOOKUP(A7,'2324 FSM Calculation'!$A$4:$D$20,4,FALSE)</f>
        <v>19708.7</v>
      </c>
      <c r="V7" s="979">
        <f>VLOOKUP(A7,'2324 Funding Detail'!$A$4:$Q$20,17,FALSE)</f>
        <v>8581.1995982040153</v>
      </c>
      <c r="W7" s="979">
        <f>VLOOKUP(A7,'2324 Funding Detail'!A6:R22,18,FALSE)</f>
        <v>1590175.7662648708</v>
      </c>
      <c r="X7" s="998">
        <v>1365089.6538288677</v>
      </c>
      <c r="Y7" s="979">
        <f>'2324 Funding Detail'!V6</f>
        <v>960000</v>
      </c>
      <c r="Z7" s="979">
        <f>'2324 Funding Detail'!Z6</f>
        <v>630175.76626487076</v>
      </c>
      <c r="AA7" s="979">
        <f>'2324 Funding Detail'!U6</f>
        <v>16564.330898592405</v>
      </c>
      <c r="AB7" s="7">
        <f>VLOOKUP(A7,'[14]2122 Pay &amp; Pension Allocations'!A58:V75,22,(FALSE))</f>
        <v>59153.696869799751</v>
      </c>
      <c r="AC7" s="7">
        <f t="shared" si="2"/>
        <v>1531022.0693950709</v>
      </c>
      <c r="AD7" s="975"/>
      <c r="AE7" s="980">
        <f t="shared" si="3"/>
        <v>3.5723862173287615E-2</v>
      </c>
      <c r="AF7" t="b">
        <f t="shared" si="0"/>
        <v>1</v>
      </c>
      <c r="AG7" s="981">
        <f t="shared" si="4"/>
        <v>1587829.2893004194</v>
      </c>
      <c r="AH7" s="1008">
        <f t="shared" si="5"/>
        <v>3.7104115636813685E-2</v>
      </c>
      <c r="AI7" t="b">
        <f t="shared" si="1"/>
        <v>1</v>
      </c>
    </row>
    <row r="8" spans="1:35" x14ac:dyDescent="0.25">
      <c r="A8" s="33">
        <v>9257024</v>
      </c>
      <c r="B8" t="s">
        <v>261</v>
      </c>
      <c r="C8" s="977">
        <f>'2324 Funding Detail'!M7</f>
        <v>92.916666666666671</v>
      </c>
      <c r="D8" s="977" t="str">
        <f>'2324 Funding Detail'!C7</f>
        <v>School Size 4</v>
      </c>
      <c r="E8" s="978">
        <f>'2324 Band Calculations'!D9</f>
        <v>8.2352941176470587E-2</v>
      </c>
      <c r="F8" s="978">
        <f>'2324 Band Calculations'!E9</f>
        <v>0.54117647058823526</v>
      </c>
      <c r="G8" s="978">
        <f>'2324 Band Calculations'!F9</f>
        <v>1.1764705882352941E-2</v>
      </c>
      <c r="H8" s="978">
        <f>'2324 Band Calculations'!G9</f>
        <v>0.17647058823529413</v>
      </c>
      <c r="I8" s="978">
        <f>'2324 Band Calculations'!H9</f>
        <v>7.0588235294117646E-2</v>
      </c>
      <c r="J8" s="978">
        <f>'2324 Band Calculations'!I9</f>
        <v>4.7058823529411764E-2</v>
      </c>
      <c r="K8" s="978">
        <f>'2324 Band Calculations'!J9</f>
        <v>7.0588235294117646E-2</v>
      </c>
      <c r="L8" s="979">
        <v>6630</v>
      </c>
      <c r="M8" s="979">
        <v>7894</v>
      </c>
      <c r="N8" s="979">
        <v>15567</v>
      </c>
      <c r="O8" s="979">
        <v>15892</v>
      </c>
      <c r="P8" s="979">
        <v>15892</v>
      </c>
      <c r="Q8" s="979">
        <v>17018</v>
      </c>
      <c r="R8" s="979">
        <v>24406</v>
      </c>
      <c r="S8" s="979">
        <f>'2324 Funding Detail'!H7</f>
        <v>1063995.3088235294</v>
      </c>
      <c r="T8" s="979">
        <f>'2324 Funding Detail'!D7+'2324 Funding Detail'!E7</f>
        <v>516153.60000000003</v>
      </c>
      <c r="U8" s="979">
        <f>VLOOKUP(A8,'2324 FSM Calculation'!$A$4:$D$20,4,FALSE)</f>
        <v>14421</v>
      </c>
      <c r="V8" s="979">
        <f>VLOOKUP(A8,'2324 Funding Detail'!$A$4:$Q$20,17,FALSE)</f>
        <v>8844.6388169908823</v>
      </c>
      <c r="W8" s="979">
        <f>VLOOKUP(A8,'2324 Funding Detail'!A7:R23,18,FALSE)</f>
        <v>1603414.5476405204</v>
      </c>
      <c r="X8" s="998">
        <v>1487567.2986802158</v>
      </c>
      <c r="Y8" s="979">
        <f>'2324 Funding Detail'!V7</f>
        <v>929166.66666666674</v>
      </c>
      <c r="Z8" s="979">
        <f>'2324 Funding Detail'!Z7</f>
        <v>674247.88097385364</v>
      </c>
      <c r="AA8" s="979">
        <f>'2324 Funding Detail'!U7</f>
        <v>17256.479436489906</v>
      </c>
      <c r="AB8" s="7">
        <f>VLOOKUP(A8,'[14]2122 Pay &amp; Pension Allocations'!A60:V77,22,(FALSE))</f>
        <v>59372.650306774223</v>
      </c>
      <c r="AC8" s="7">
        <f t="shared" si="2"/>
        <v>1544041.8973337461</v>
      </c>
      <c r="AD8" s="975"/>
      <c r="AE8" s="980">
        <f t="shared" si="3"/>
        <v>3.7742674641348062E-2</v>
      </c>
      <c r="AF8" t="b">
        <f t="shared" si="0"/>
        <v>1</v>
      </c>
      <c r="AG8" s="981">
        <f t="shared" si="4"/>
        <v>1604559.0509205465</v>
      </c>
      <c r="AH8" s="1008">
        <f t="shared" si="5"/>
        <v>3.9193984108398583E-2</v>
      </c>
      <c r="AI8" t="b">
        <f t="shared" si="1"/>
        <v>1</v>
      </c>
    </row>
    <row r="9" spans="1:35" x14ac:dyDescent="0.25">
      <c r="A9" s="33">
        <v>9257031</v>
      </c>
      <c r="B9" t="s">
        <v>169</v>
      </c>
      <c r="C9" s="977">
        <f>'2324 Funding Detail'!M8</f>
        <v>80.583333333333343</v>
      </c>
      <c r="D9" s="977" t="str">
        <f>'2324 Funding Detail'!C8</f>
        <v>School Size 5</v>
      </c>
      <c r="E9" s="978">
        <f>'2324 Band Calculations'!D10</f>
        <v>0</v>
      </c>
      <c r="F9" s="978">
        <f>'2324 Band Calculations'!E10</f>
        <v>0</v>
      </c>
      <c r="G9" s="978">
        <f>'2324 Band Calculations'!F10</f>
        <v>1</v>
      </c>
      <c r="H9" s="978">
        <f>'2324 Band Calculations'!G10</f>
        <v>0</v>
      </c>
      <c r="I9" s="978">
        <f>'2324 Band Calculations'!H10</f>
        <v>0</v>
      </c>
      <c r="J9" s="978">
        <f>'2324 Band Calculations'!I10</f>
        <v>0</v>
      </c>
      <c r="K9" s="978">
        <f>'2324 Band Calculations'!J10</f>
        <v>0</v>
      </c>
      <c r="L9" s="979">
        <v>6630</v>
      </c>
      <c r="M9" s="979">
        <v>7894</v>
      </c>
      <c r="N9" s="979">
        <v>15567</v>
      </c>
      <c r="O9" s="979">
        <v>15892</v>
      </c>
      <c r="P9" s="979">
        <v>15892</v>
      </c>
      <c r="Q9" s="979">
        <v>17018</v>
      </c>
      <c r="R9" s="979">
        <v>24406</v>
      </c>
      <c r="S9" s="979">
        <f>'2324 Funding Detail'!H8</f>
        <v>1254440.75</v>
      </c>
      <c r="T9" s="979">
        <f>'2324 Funding Detail'!D8+'2324 Funding Detail'!E8</f>
        <v>504803</v>
      </c>
      <c r="U9" s="979">
        <f>VLOOKUP(A9,'2324 FSM Calculation'!$A$4:$D$20,4,FALSE)</f>
        <v>21150.799999999999</v>
      </c>
      <c r="V9" s="979">
        <f>VLOOKUP(A9,'2324 Funding Detail'!$A$4:$Q$20,17,FALSE)</f>
        <v>0</v>
      </c>
      <c r="W9" s="979">
        <f>VLOOKUP(A9,'2324 Funding Detail'!A8:R24,18,FALSE)</f>
        <v>1780394.55</v>
      </c>
      <c r="X9" s="998">
        <v>1668000.205271652</v>
      </c>
      <c r="Y9" s="979">
        <f>'2324 Funding Detail'!V8</f>
        <v>805833.33333333337</v>
      </c>
      <c r="Z9" s="979">
        <f>'2324 Funding Detail'!Z8</f>
        <v>974561.21666666667</v>
      </c>
      <c r="AA9" s="979">
        <f>'2324 Funding Detail'!U8</f>
        <v>22093.8310237849</v>
      </c>
      <c r="AB9" s="7">
        <f>VLOOKUP(A9,'[14]2122 Pay &amp; Pension Allocations'!A61:V78,22,(FALSE))</f>
        <v>60527.552121208268</v>
      </c>
      <c r="AC9" s="7">
        <f t="shared" si="2"/>
        <v>1719866.9978787918</v>
      </c>
      <c r="AD9" s="975"/>
      <c r="AE9" s="980">
        <f t="shared" si="3"/>
        <v>3.9565949019558615E-2</v>
      </c>
      <c r="AF9" t="b">
        <f t="shared" si="0"/>
        <v>1</v>
      </c>
      <c r="AG9" s="981">
        <f t="shared" si="4"/>
        <v>1790309.9978787918</v>
      </c>
      <c r="AH9" s="1008">
        <f t="shared" si="5"/>
        <v>4.0958399740724891E-2</v>
      </c>
      <c r="AI9" t="b">
        <f t="shared" si="1"/>
        <v>1</v>
      </c>
    </row>
    <row r="10" spans="1:35" x14ac:dyDescent="0.25">
      <c r="A10" s="33">
        <v>9257033</v>
      </c>
      <c r="B10" t="s">
        <v>269</v>
      </c>
      <c r="C10" s="977">
        <f>'2324 Funding Detail'!M9</f>
        <v>113.75000000000001</v>
      </c>
      <c r="D10" s="977" t="str">
        <f>'2324 Funding Detail'!C9</f>
        <v>School Size 4</v>
      </c>
      <c r="E10" s="978">
        <f>'2324 Band Calculations'!D11</f>
        <v>0.13513513513513514</v>
      </c>
      <c r="F10" s="978">
        <f>'2324 Band Calculations'!E11</f>
        <v>0.67567567567567566</v>
      </c>
      <c r="G10" s="978">
        <f>'2324 Band Calculations'!F11</f>
        <v>9.0090090090090089E-3</v>
      </c>
      <c r="H10" s="978">
        <f>'2324 Band Calculations'!G11</f>
        <v>9.0090090090090086E-2</v>
      </c>
      <c r="I10" s="978">
        <f>'2324 Band Calculations'!H11</f>
        <v>4.5045045045045043E-2</v>
      </c>
      <c r="J10" s="978">
        <f>'2324 Band Calculations'!I11</f>
        <v>2.7027027027027029E-2</v>
      </c>
      <c r="K10" s="978">
        <f>'2324 Band Calculations'!J11</f>
        <v>1.8018018018018018E-2</v>
      </c>
      <c r="L10" s="979">
        <v>6630</v>
      </c>
      <c r="M10" s="979">
        <v>7894</v>
      </c>
      <c r="N10" s="979">
        <v>15567</v>
      </c>
      <c r="O10" s="979">
        <v>15892</v>
      </c>
      <c r="P10" s="979">
        <v>15892</v>
      </c>
      <c r="Q10" s="979">
        <v>17018</v>
      </c>
      <c r="R10" s="979">
        <v>24406</v>
      </c>
      <c r="S10" s="979">
        <f>'2324 Funding Detail'!H9</f>
        <v>1071210.3941441439</v>
      </c>
      <c r="T10" s="979">
        <f>'2324 Funding Detail'!D9+'2324 Funding Detail'!E9</f>
        <v>516153.60000000003</v>
      </c>
      <c r="U10" s="979">
        <f>VLOOKUP(A10,'2324 FSM Calculation'!$A$4:$D$20,4,FALSE)</f>
        <v>30764.799999999999</v>
      </c>
      <c r="V10" s="979">
        <f>VLOOKUP(A10,'2324 Funding Detail'!$A$4:$Q$20,17,FALSE)</f>
        <v>0</v>
      </c>
      <c r="W10" s="979">
        <f>VLOOKUP(A10,'2324 Funding Detail'!A9:R25,18,FALSE)</f>
        <v>1618128.794144144</v>
      </c>
      <c r="X10" s="998">
        <v>1429288.0421490096</v>
      </c>
      <c r="Y10" s="979">
        <f>'2324 Funding Detail'!V9</f>
        <v>1137500.0000000002</v>
      </c>
      <c r="Z10" s="979">
        <f>'2324 Funding Detail'!Z9</f>
        <v>480628.79414414382</v>
      </c>
      <c r="AA10" s="979">
        <f>'2324 Funding Detail'!U9</f>
        <v>14225.308080388078</v>
      </c>
      <c r="AB10" s="7">
        <f>VLOOKUP(A10,'[14]2122 Pay &amp; Pension Allocations'!A62:V79,22,(FALSE))</f>
        <v>70964.480012963322</v>
      </c>
      <c r="AC10" s="7">
        <f t="shared" si="2"/>
        <v>1547164.3141311808</v>
      </c>
      <c r="AD10" s="975"/>
      <c r="AE10" s="980">
        <f t="shared" si="3"/>
        <v>3.5158491569676514E-2</v>
      </c>
      <c r="AF10" t="b">
        <f t="shared" si="0"/>
        <v>1</v>
      </c>
      <c r="AG10" s="981">
        <f t="shared" si="4"/>
        <v>1604055.2816987485</v>
      </c>
      <c r="AH10" s="1008">
        <f t="shared" si="5"/>
        <v>3.6771121882755657E-2</v>
      </c>
      <c r="AI10" t="b">
        <f t="shared" si="1"/>
        <v>1</v>
      </c>
    </row>
    <row r="11" spans="1:35" x14ac:dyDescent="0.25">
      <c r="A11" s="33">
        <v>9257008</v>
      </c>
      <c r="B11" t="s">
        <v>126</v>
      </c>
      <c r="C11" s="977">
        <f>'2324 Funding Detail'!M10</f>
        <v>101</v>
      </c>
      <c r="D11" s="977" t="str">
        <f>'2324 Funding Detail'!C10</f>
        <v>School Size 4</v>
      </c>
      <c r="E11" s="978">
        <f>'2324 Band Calculations'!D12</f>
        <v>0.15841584158415842</v>
      </c>
      <c r="F11" s="978">
        <f>'2324 Band Calculations'!E12</f>
        <v>0.62376237623762376</v>
      </c>
      <c r="G11" s="978">
        <f>'2324 Band Calculations'!F12</f>
        <v>4.9504950495049507E-2</v>
      </c>
      <c r="H11" s="978">
        <f>'2324 Band Calculations'!G12</f>
        <v>0.10891089108910891</v>
      </c>
      <c r="I11" s="978">
        <f>'2324 Band Calculations'!H12</f>
        <v>0</v>
      </c>
      <c r="J11" s="978">
        <f>'2324 Band Calculations'!I12</f>
        <v>5.9405940594059403E-2</v>
      </c>
      <c r="K11" s="978">
        <f>'2324 Band Calculations'!J12</f>
        <v>0</v>
      </c>
      <c r="L11" s="979">
        <v>6630</v>
      </c>
      <c r="M11" s="979">
        <v>7894</v>
      </c>
      <c r="N11" s="979">
        <v>15567</v>
      </c>
      <c r="O11" s="979">
        <v>15892</v>
      </c>
      <c r="P11" s="979">
        <v>15892</v>
      </c>
      <c r="Q11" s="979">
        <v>17018</v>
      </c>
      <c r="R11" s="979">
        <v>24406</v>
      </c>
      <c r="S11" s="979">
        <f>'2324 Funding Detail'!H10</f>
        <v>958157.00000000012</v>
      </c>
      <c r="T11" s="979">
        <f>'2324 Funding Detail'!D10+'2324 Funding Detail'!E10</f>
        <v>516153.60000000003</v>
      </c>
      <c r="U11" s="979">
        <f>VLOOKUP(A11,'2324 FSM Calculation'!$A$4:$D$20,4,FALSE)</f>
        <v>16824.5</v>
      </c>
      <c r="V11" s="979">
        <f>VLOOKUP(A11,'2324 Funding Detail'!$A$4:$Q$20,17,FALSE)</f>
        <v>0</v>
      </c>
      <c r="W11" s="979">
        <f>VLOOKUP(A11,'2324 Funding Detail'!A10:R26,18,FALSE)</f>
        <v>1491135.1</v>
      </c>
      <c r="X11" s="998">
        <v>1460619.4401391244</v>
      </c>
      <c r="Y11" s="979">
        <f>'2324 Funding Detail'!V10</f>
        <v>1010000</v>
      </c>
      <c r="Z11" s="979">
        <f>'2324 Funding Detail'!Z10</f>
        <v>481135.10000000009</v>
      </c>
      <c r="AA11" s="979">
        <f>'2324 Funding Detail'!U10</f>
        <v>14763.713861386139</v>
      </c>
      <c r="AB11" s="7">
        <f>VLOOKUP(A11,'[14]2122 Pay &amp; Pension Allocations'!A63:V80,22,(FALSE))</f>
        <v>72895.990389827464</v>
      </c>
      <c r="AC11" s="7">
        <f t="shared" si="2"/>
        <v>1418239.1096101727</v>
      </c>
      <c r="AD11" s="975"/>
      <c r="AE11" s="980">
        <f t="shared" si="3"/>
        <v>3.5355548937182089E-2</v>
      </c>
      <c r="AF11" t="b">
        <f t="shared" si="0"/>
        <v>1</v>
      </c>
      <c r="AG11" s="981">
        <f t="shared" si="4"/>
        <v>1470959.0096101726</v>
      </c>
      <c r="AH11" s="1008">
        <f t="shared" si="5"/>
        <v>3.7172786762657305E-2</v>
      </c>
      <c r="AI11" t="b">
        <f t="shared" si="1"/>
        <v>1</v>
      </c>
    </row>
    <row r="12" spans="1:35" ht="25" x14ac:dyDescent="0.25">
      <c r="A12" s="33">
        <v>9257034</v>
      </c>
      <c r="B12" t="s">
        <v>270</v>
      </c>
      <c r="C12" s="977">
        <f>'2324 Funding Detail'!M11</f>
        <v>128.33333333333334</v>
      </c>
      <c r="D12" s="977" t="str">
        <f>'2324 Funding Detail'!C11</f>
        <v>School Size 4 Transition Point</v>
      </c>
      <c r="E12" s="978">
        <f>'2324 Band Calculations'!D13</f>
        <v>0.42735042735042733</v>
      </c>
      <c r="F12" s="978">
        <f>'2324 Band Calculations'!E13</f>
        <v>0.3504273504273504</v>
      </c>
      <c r="G12" s="978">
        <f>'2324 Band Calculations'!F13</f>
        <v>9.4017094017094016E-2</v>
      </c>
      <c r="H12" s="978">
        <f>'2324 Band Calculations'!G13</f>
        <v>5.128205128205128E-2</v>
      </c>
      <c r="I12" s="978">
        <f>'2324 Band Calculations'!H13</f>
        <v>2.564102564102564E-2</v>
      </c>
      <c r="J12" s="978">
        <f>'2324 Band Calculations'!I13</f>
        <v>4.2735042735042736E-2</v>
      </c>
      <c r="K12" s="978">
        <f>'2324 Band Calculations'!J13</f>
        <v>8.5470085470085479E-3</v>
      </c>
      <c r="L12" s="979">
        <v>6630</v>
      </c>
      <c r="M12" s="979">
        <v>7894</v>
      </c>
      <c r="N12" s="979">
        <v>15567</v>
      </c>
      <c r="O12" s="979">
        <v>15892</v>
      </c>
      <c r="P12" s="979">
        <v>15892</v>
      </c>
      <c r="Q12" s="979">
        <v>17018</v>
      </c>
      <c r="R12" s="979">
        <v>24406</v>
      </c>
      <c r="S12" s="979">
        <f>'2324 Funding Detail'!H11</f>
        <v>1183425.2849002851</v>
      </c>
      <c r="T12" s="979">
        <f>'2324 Funding Detail'!D11+'2324 Funding Detail'!E11</f>
        <v>560721.69999999995</v>
      </c>
      <c r="U12" s="979">
        <f>VLOOKUP(A12,'2324 FSM Calculation'!$A$4:$D$20,4,FALSE)</f>
        <v>27399.899999999998</v>
      </c>
      <c r="V12" s="979">
        <f>VLOOKUP(A12,'2324 Funding Detail'!$A$4:$Q$20,17,FALSE)</f>
        <v>34011.53444176296</v>
      </c>
      <c r="W12" s="979">
        <f>VLOOKUP(A12,'2324 Funding Detail'!A11:R27,18,FALSE)</f>
        <v>1805558.419342048</v>
      </c>
      <c r="X12" s="998">
        <v>1719229.6326618223</v>
      </c>
      <c r="Y12" s="979">
        <f>'2324 Funding Detail'!V11</f>
        <v>1283333.3333333335</v>
      </c>
      <c r="Z12" s="979">
        <f>'2324 Funding Detail'!Z11</f>
        <v>522225.08600871451</v>
      </c>
      <c r="AA12" s="979">
        <f>'2324 Funding Detail'!U11</f>
        <v>14069.28638448349</v>
      </c>
      <c r="AB12" s="7">
        <f>VLOOKUP(A12,'[14]2122 Pay &amp; Pension Allocations'!A64:V81,22,(FALSE))</f>
        <v>82422.383649202602</v>
      </c>
      <c r="AC12" s="7">
        <f t="shared" si="2"/>
        <v>1723136.0356928455</v>
      </c>
      <c r="AD12" s="975"/>
      <c r="AE12" s="980">
        <f t="shared" si="3"/>
        <v>3.2256430900386129E-2</v>
      </c>
      <c r="AF12" t="b">
        <f t="shared" si="0"/>
        <v>1</v>
      </c>
      <c r="AG12" s="981">
        <f t="shared" si="4"/>
        <v>1781376.9060829626</v>
      </c>
      <c r="AH12" s="1008">
        <f t="shared" si="5"/>
        <v>3.3799345602275356E-2</v>
      </c>
      <c r="AI12" t="b">
        <f t="shared" si="1"/>
        <v>1</v>
      </c>
    </row>
    <row r="13" spans="1:35" ht="25" x14ac:dyDescent="0.25">
      <c r="A13" s="33">
        <v>9257002</v>
      </c>
      <c r="B13" t="s">
        <v>262</v>
      </c>
      <c r="C13" s="977">
        <f>'2324 Funding Detail'!M12</f>
        <v>168.91666666666669</v>
      </c>
      <c r="D13" s="977" t="str">
        <f>'2324 Funding Detail'!C12</f>
        <v>School Size 5 Transition Point</v>
      </c>
      <c r="E13" s="978">
        <f>'2324 Band Calculations'!D14</f>
        <v>0.17682926829268292</v>
      </c>
      <c r="F13" s="978">
        <f>'2324 Band Calculations'!E14</f>
        <v>0.51829268292682928</v>
      </c>
      <c r="G13" s="978">
        <f>'2324 Band Calculations'!F14</f>
        <v>0.12804878048780488</v>
      </c>
      <c r="H13" s="978">
        <f>'2324 Band Calculations'!G14</f>
        <v>3.6585365853658534E-2</v>
      </c>
      <c r="I13" s="978">
        <f>'2324 Band Calculations'!H14</f>
        <v>3.048780487804878E-2</v>
      </c>
      <c r="J13" s="978">
        <f>'2324 Band Calculations'!I14</f>
        <v>9.7560975609756101E-2</v>
      </c>
      <c r="K13" s="978">
        <f>'2324 Band Calculations'!J14</f>
        <v>1.2195121951219513E-2</v>
      </c>
      <c r="L13" s="979">
        <v>6630</v>
      </c>
      <c r="M13" s="979">
        <v>7894</v>
      </c>
      <c r="N13" s="979">
        <v>15567</v>
      </c>
      <c r="O13" s="979">
        <v>15892</v>
      </c>
      <c r="P13" s="979">
        <v>15892</v>
      </c>
      <c r="Q13" s="979">
        <v>17018</v>
      </c>
      <c r="R13" s="979">
        <v>24406</v>
      </c>
      <c r="S13" s="979">
        <f>'2324 Funding Detail'!H12</f>
        <v>1736627.100101626</v>
      </c>
      <c r="T13" s="979">
        <f>'2324 Funding Detail'!D12+'2324 Funding Detail'!E12</f>
        <v>660518.40000000002</v>
      </c>
      <c r="U13" s="979">
        <f>VLOOKUP(A13,'2324 FSM Calculation'!$A$4:$D$20,4,FALSE)</f>
        <v>24996.399999999998</v>
      </c>
      <c r="V13" s="979">
        <f>VLOOKUP(A13,'2324 Funding Detail'!$A$4:$Q$20,17,FALSE)</f>
        <v>0</v>
      </c>
      <c r="W13" s="979">
        <f>VLOOKUP(A13,'2324 Funding Detail'!A12:R28,18,FALSE)</f>
        <v>2422141.9001016258</v>
      </c>
      <c r="X13" s="998">
        <v>1934148.1529772335</v>
      </c>
      <c r="Y13" s="979">
        <f>'2324 Funding Detail'!V12</f>
        <v>1689166.6666666667</v>
      </c>
      <c r="Z13" s="979">
        <f>'2324 Funding Detail'!Z12</f>
        <v>732975.23343495908</v>
      </c>
      <c r="AA13" s="979">
        <f>'2324 Funding Detail'!U12</f>
        <v>14339.271238884809</v>
      </c>
      <c r="AB13" s="7">
        <f>VLOOKUP(A13,'[14]2122 Pay &amp; Pension Allocations'!A65:V82,22,(FALSE))</f>
        <v>101278.63051555897</v>
      </c>
      <c r="AC13" s="7">
        <f t="shared" si="2"/>
        <v>2320863.2695860667</v>
      </c>
      <c r="AD13" s="975"/>
      <c r="AE13" s="980">
        <f t="shared" si="3"/>
        <v>3.7950616497655132E-2</v>
      </c>
      <c r="AF13" t="b">
        <f t="shared" si="0"/>
        <v>1</v>
      </c>
      <c r="AG13" s="981">
        <f t="shared" si="4"/>
        <v>2412785.0479397252</v>
      </c>
      <c r="AH13" s="1008">
        <f t="shared" si="5"/>
        <v>3.9606718568152892E-2</v>
      </c>
      <c r="AI13" t="b">
        <f t="shared" si="1"/>
        <v>1</v>
      </c>
    </row>
    <row r="14" spans="1:35" ht="25" x14ac:dyDescent="0.25">
      <c r="A14" s="78">
        <v>9257009</v>
      </c>
      <c r="B14" s="101" t="s">
        <v>1123</v>
      </c>
      <c r="C14" s="977">
        <f>'2324 Funding Detail'!M13</f>
        <v>207.83333333333337</v>
      </c>
      <c r="D14" s="977" t="str">
        <f>'2324 Funding Detail'!C13</f>
        <v>School Size 6 Transition Point</v>
      </c>
      <c r="E14" s="978">
        <f>'2324 Band Calculations'!D15</f>
        <v>0.17258883248730963</v>
      </c>
      <c r="F14" s="978">
        <f>'2324 Band Calculations'!E15</f>
        <v>0.50761421319796951</v>
      </c>
      <c r="G14" s="978">
        <f>'2324 Band Calculations'!F15</f>
        <v>6.5989847715736044E-2</v>
      </c>
      <c r="H14" s="978">
        <f>'2324 Band Calculations'!G15</f>
        <v>8.1218274111675121E-2</v>
      </c>
      <c r="I14" s="978">
        <f>'2324 Band Calculations'!H15</f>
        <v>3.553299492385787E-2</v>
      </c>
      <c r="J14" s="978">
        <f>'2324 Band Calculations'!I15</f>
        <v>8.6294416243654817E-2</v>
      </c>
      <c r="K14" s="978">
        <f>'2324 Band Calculations'!J15</f>
        <v>5.0761421319796954E-2</v>
      </c>
      <c r="L14" s="979">
        <v>6630</v>
      </c>
      <c r="M14" s="979">
        <v>7894</v>
      </c>
      <c r="N14" s="979">
        <v>15567</v>
      </c>
      <c r="O14" s="979">
        <v>15892</v>
      </c>
      <c r="P14" s="979">
        <v>15892</v>
      </c>
      <c r="Q14" s="979">
        <v>17018</v>
      </c>
      <c r="R14" s="979">
        <v>24406</v>
      </c>
      <c r="S14" s="979">
        <f>'2324 Funding Detail'!H13</f>
        <v>2232439.1125211506</v>
      </c>
      <c r="T14" s="979">
        <f>'2324 Funding Detail'!D13+'2324 Funding Detail'!E13</f>
        <v>769039.2</v>
      </c>
      <c r="U14" s="979">
        <f>VLOOKUP(A14,'2324 FSM Calculation'!$A$4:$D$20,4,FALSE)</f>
        <v>23554.3</v>
      </c>
      <c r="V14" s="979">
        <f>VLOOKUP(A14,'2324 Funding Detail'!$A$4:$Q$20,17,FALSE)</f>
        <v>34686.323739454252</v>
      </c>
      <c r="W14" s="979">
        <f>VLOOKUP(A14,'2324 Funding Detail'!A13:R29,18,FALSE)</f>
        <v>3059718.9362606043</v>
      </c>
      <c r="X14" s="997" t="e">
        <f>#REF!+#REF!</f>
        <v>#REF!</v>
      </c>
      <c r="Y14" s="979">
        <f>'2324 Funding Detail'!V13</f>
        <v>2078333.3333333337</v>
      </c>
      <c r="Z14" s="979">
        <f>'2324 Funding Detail'!Z13</f>
        <v>981385.60292727058</v>
      </c>
      <c r="AA14" s="979">
        <f>'2324 Funding Detail'!U13</f>
        <v>14721.983654822472</v>
      </c>
      <c r="AB14" s="977">
        <v>139362.78080346057</v>
      </c>
      <c r="AC14" s="7">
        <f t="shared" si="2"/>
        <v>2920356.1554571437</v>
      </c>
      <c r="AD14" s="174"/>
      <c r="AE14" s="980">
        <f t="shared" si="3"/>
        <v>3.6718998028192805E-2</v>
      </c>
      <c r="AF14" t="b">
        <f t="shared" si="0"/>
        <v>1</v>
      </c>
      <c r="AG14" s="981">
        <f t="shared" si="4"/>
        <v>3032705.969044521</v>
      </c>
      <c r="AH14" s="1008">
        <f t="shared" si="5"/>
        <v>3.8471271176097499E-2</v>
      </c>
      <c r="AI14" t="b">
        <f t="shared" si="1"/>
        <v>1</v>
      </c>
    </row>
    <row r="15" spans="1:35" ht="25" x14ac:dyDescent="0.25">
      <c r="A15" s="33">
        <v>9257029</v>
      </c>
      <c r="B15" t="s">
        <v>278</v>
      </c>
      <c r="C15" s="977">
        <f>'2324 Funding Detail'!M14</f>
        <v>79</v>
      </c>
      <c r="D15" s="977" t="str">
        <f>'2324 Funding Detail'!C14</f>
        <v>School Size 4 Transition Point</v>
      </c>
      <c r="E15" s="978">
        <f>'2324 Band Calculations'!D16</f>
        <v>0</v>
      </c>
      <c r="F15" s="978">
        <f>'2324 Band Calculations'!E16</f>
        <v>0</v>
      </c>
      <c r="G15" s="978">
        <f>'2324 Band Calculations'!F16</f>
        <v>1</v>
      </c>
      <c r="H15" s="978">
        <f>'2324 Band Calculations'!G16</f>
        <v>0</v>
      </c>
      <c r="I15" s="978">
        <f>'2324 Band Calculations'!H16</f>
        <v>0</v>
      </c>
      <c r="J15" s="978">
        <f>'2324 Band Calculations'!I16</f>
        <v>0</v>
      </c>
      <c r="K15" s="978">
        <f>'2324 Band Calculations'!J16</f>
        <v>0</v>
      </c>
      <c r="L15" s="979">
        <v>6630</v>
      </c>
      <c r="M15" s="979">
        <v>7894</v>
      </c>
      <c r="N15" s="979">
        <v>15567</v>
      </c>
      <c r="O15" s="979">
        <v>15892</v>
      </c>
      <c r="P15" s="979">
        <v>15892</v>
      </c>
      <c r="Q15" s="979">
        <v>17018</v>
      </c>
      <c r="R15" s="979">
        <v>24406</v>
      </c>
      <c r="S15" s="979">
        <f>'2324 Funding Detail'!H14</f>
        <v>1229793</v>
      </c>
      <c r="T15" s="979">
        <f>'2324 Funding Detail'!D14+'2324 Funding Detail'!E14</f>
        <v>485979.75</v>
      </c>
      <c r="U15" s="979">
        <f>VLOOKUP(A15,'2324 FSM Calculation'!$A$4:$D$20,4,FALSE)</f>
        <v>11536.8</v>
      </c>
      <c r="V15" s="979">
        <f>VLOOKUP(A15,'2324 Funding Detail'!$A$4:$Q$20,17,FALSE)</f>
        <v>0</v>
      </c>
      <c r="W15" s="979">
        <f>VLOOKUP(A15,'2324 Funding Detail'!A14:R30,18,FALSE)</f>
        <v>1727309.55</v>
      </c>
      <c r="X15" s="998">
        <v>1547456.3787706883</v>
      </c>
      <c r="Y15" s="979">
        <f>'2324 Funding Detail'!V14</f>
        <v>790000</v>
      </c>
      <c r="Z15" s="979">
        <f>'2324 Funding Detail'!Z14</f>
        <v>937309.55</v>
      </c>
      <c r="AA15" s="979">
        <f>'2324 Funding Detail'!U14</f>
        <v>21864.677848101266</v>
      </c>
      <c r="AB15" s="7">
        <f>VLOOKUP(A15,'[14]2122 Pay &amp; Pension Allocations'!A67:V84,22,(FALSE))</f>
        <v>55715.445274666607</v>
      </c>
      <c r="AC15" s="7">
        <f t="shared" si="2"/>
        <v>1671594.1047253334</v>
      </c>
      <c r="AD15" s="975"/>
      <c r="AE15" s="980">
        <f t="shared" si="3"/>
        <v>3.1139323000906102E-2</v>
      </c>
      <c r="AF15" t="b">
        <f t="shared" si="0"/>
        <v>1</v>
      </c>
      <c r="AG15" s="981">
        <f t="shared" si="4"/>
        <v>1725381.3547253332</v>
      </c>
      <c r="AH15" s="1008">
        <f t="shared" si="5"/>
        <v>3.217721924715556E-2</v>
      </c>
      <c r="AI15" t="b">
        <f t="shared" si="1"/>
        <v>1</v>
      </c>
    </row>
    <row r="16" spans="1:35" ht="25" x14ac:dyDescent="0.25">
      <c r="A16" s="33">
        <v>9257032</v>
      </c>
      <c r="B16" t="s">
        <v>266</v>
      </c>
      <c r="C16" s="977">
        <f>'2324 Funding Detail'!M15</f>
        <v>110.41666666666669</v>
      </c>
      <c r="D16" s="977" t="str">
        <f>'2324 Funding Detail'!C15</f>
        <v>School Size 4 Transition Point</v>
      </c>
      <c r="E16" s="978">
        <f>'2324 Band Calculations'!D17</f>
        <v>0</v>
      </c>
      <c r="F16" s="978">
        <f>'2324 Band Calculations'!E17</f>
        <v>0</v>
      </c>
      <c r="G16" s="978">
        <f>'2324 Band Calculations'!F17</f>
        <v>1</v>
      </c>
      <c r="H16" s="978">
        <f>'2324 Band Calculations'!G17</f>
        <v>0</v>
      </c>
      <c r="I16" s="978">
        <f>'2324 Band Calculations'!H17</f>
        <v>0</v>
      </c>
      <c r="J16" s="978">
        <f>'2324 Band Calculations'!I17</f>
        <v>0</v>
      </c>
      <c r="K16" s="978">
        <f>'2324 Band Calculations'!J17</f>
        <v>0</v>
      </c>
      <c r="L16" s="979">
        <v>6630</v>
      </c>
      <c r="M16" s="979">
        <v>7894</v>
      </c>
      <c r="N16" s="979">
        <v>15567</v>
      </c>
      <c r="O16" s="979">
        <v>15892</v>
      </c>
      <c r="P16" s="979">
        <v>15892</v>
      </c>
      <c r="Q16" s="979">
        <v>17018</v>
      </c>
      <c r="R16" s="979">
        <v>24406</v>
      </c>
      <c r="S16" s="979">
        <f>'2324 Funding Detail'!H15</f>
        <v>1718856.25</v>
      </c>
      <c r="T16" s="979">
        <f>'2324 Funding Detail'!D15+'2324 Funding Detail'!E15</f>
        <v>485979.75</v>
      </c>
      <c r="U16" s="979">
        <f>VLOOKUP(A16,'2324 FSM Calculation'!$A$4:$D$20,4,FALSE)</f>
        <v>21631.5</v>
      </c>
      <c r="V16" s="979">
        <f>VLOOKUP(A16,'2324 Funding Detail'!$A$4:$Q$20,17,FALSE)</f>
        <v>0</v>
      </c>
      <c r="W16" s="979">
        <f>VLOOKUP(A16,'2324 Funding Detail'!A15:R31,18,FALSE)</f>
        <v>2226467.5</v>
      </c>
      <c r="X16" s="998">
        <v>1874658.5788347009</v>
      </c>
      <c r="Y16" s="979">
        <f>'2324 Funding Detail'!V15</f>
        <v>1104166.6666666667</v>
      </c>
      <c r="Z16" s="979">
        <f>'2324 Funding Detail'!Z15</f>
        <v>1122300.8333333333</v>
      </c>
      <c r="AA16" s="979">
        <f>'2324 Funding Detail'!U15</f>
        <v>20164.233962264148</v>
      </c>
      <c r="AB16" s="7">
        <f>VLOOKUP(A16,'[14]2122 Pay &amp; Pension Allocations'!A68:V85,22,(FALSE))</f>
        <v>67500.587413583271</v>
      </c>
      <c r="AC16" s="7">
        <f t="shared" si="2"/>
        <v>2158966.9125864166</v>
      </c>
      <c r="AD16" s="975"/>
      <c r="AE16" s="980">
        <f t="shared" si="3"/>
        <v>3.0851449661852239E-2</v>
      </c>
      <c r="AF16" t="b">
        <f t="shared" si="0"/>
        <v>1</v>
      </c>
      <c r="AG16" s="981">
        <f t="shared" si="4"/>
        <v>2227656.6625864166</v>
      </c>
      <c r="AH16" s="1008">
        <f t="shared" si="5"/>
        <v>3.1816027193168284E-2</v>
      </c>
      <c r="AI16" t="b">
        <f t="shared" si="1"/>
        <v>1</v>
      </c>
    </row>
    <row r="17" spans="1:35" ht="25" x14ac:dyDescent="0.25">
      <c r="A17" s="33">
        <v>9257030</v>
      </c>
      <c r="B17" t="s">
        <v>268</v>
      </c>
      <c r="C17" s="977">
        <f>'2324 Funding Detail'!M16</f>
        <v>70</v>
      </c>
      <c r="D17" s="977" t="str">
        <f>'2324 Funding Detail'!C16</f>
        <v>School Size 4 Transition Point</v>
      </c>
      <c r="E17" s="978">
        <f>'2324 Band Calculations'!D18</f>
        <v>0</v>
      </c>
      <c r="F17" s="978">
        <f>'2324 Band Calculations'!E18</f>
        <v>0</v>
      </c>
      <c r="G17" s="978">
        <f>'2324 Band Calculations'!F18</f>
        <v>1</v>
      </c>
      <c r="H17" s="978">
        <f>'2324 Band Calculations'!G18</f>
        <v>0</v>
      </c>
      <c r="I17" s="978">
        <f>'2324 Band Calculations'!H18</f>
        <v>0</v>
      </c>
      <c r="J17" s="978">
        <f>'2324 Band Calculations'!I18</f>
        <v>0</v>
      </c>
      <c r="K17" s="978">
        <f>'2324 Band Calculations'!J18</f>
        <v>0</v>
      </c>
      <c r="L17" s="979">
        <v>6630</v>
      </c>
      <c r="M17" s="979">
        <v>7894</v>
      </c>
      <c r="N17" s="979">
        <v>15567</v>
      </c>
      <c r="O17" s="979">
        <v>15892</v>
      </c>
      <c r="P17" s="979">
        <v>15892</v>
      </c>
      <c r="Q17" s="979">
        <v>17018</v>
      </c>
      <c r="R17" s="979">
        <v>24406</v>
      </c>
      <c r="S17" s="979">
        <f>'2324 Funding Detail'!H16</f>
        <v>1089690</v>
      </c>
      <c r="T17" s="979">
        <f>'2324 Funding Detail'!D16+'2324 Funding Detail'!E16</f>
        <v>485979.75</v>
      </c>
      <c r="U17" s="979">
        <f>VLOOKUP(A17,'2324 FSM Calculation'!$A$4:$D$20,4,FALSE)</f>
        <v>14421</v>
      </c>
      <c r="V17" s="979">
        <f>VLOOKUP(A17,'2324 Funding Detail'!$A$4:$Q$20,17,FALSE)</f>
        <v>2871.4524356642</v>
      </c>
      <c r="W17" s="979">
        <f>VLOOKUP(A17,'2324 Funding Detail'!A16:R32,18,FALSE)</f>
        <v>1592962.2024356641</v>
      </c>
      <c r="X17" s="998">
        <v>1553577.088864696</v>
      </c>
      <c r="Y17" s="979">
        <f>'2324 Funding Detail'!V16</f>
        <v>700000</v>
      </c>
      <c r="Z17" s="979">
        <f>'2324 Funding Detail'!Z16</f>
        <v>892962.20243566413</v>
      </c>
      <c r="AA17" s="979">
        <f>'2324 Funding Detail'!U16</f>
        <v>22756.602891938059</v>
      </c>
      <c r="AB17" s="7">
        <f>VLOOKUP(A17,'[14]2122 Pay &amp; Pension Allocations'!A69:V86,22,(FALSE))</f>
        <v>54887.563388874943</v>
      </c>
      <c r="AC17" s="7">
        <f t="shared" si="2"/>
        <v>1538074.6390467891</v>
      </c>
      <c r="AD17" s="174"/>
      <c r="AE17" s="980">
        <f t="shared" si="3"/>
        <v>2.9354618391345302E-2</v>
      </c>
      <c r="AF17" t="b">
        <f t="shared" si="0"/>
        <v>1</v>
      </c>
      <c r="AG17" s="981">
        <f t="shared" si="4"/>
        <v>1584835.436611125</v>
      </c>
      <c r="AH17" s="1008">
        <f t="shared" si="5"/>
        <v>3.0402164093489989E-2</v>
      </c>
      <c r="AI17" t="b">
        <f t="shared" si="1"/>
        <v>1</v>
      </c>
    </row>
    <row r="18" spans="1:35" ht="24.75" customHeight="1" x14ac:dyDescent="0.25">
      <c r="A18" s="33">
        <v>9257028</v>
      </c>
      <c r="B18" t="str">
        <f>'[15]2122 Funding Detail'!B18</f>
        <v>Bourne Willoughby</v>
      </c>
      <c r="C18" s="977">
        <f>'2324 Funding Detail'!M17</f>
        <v>138.66666666666669</v>
      </c>
      <c r="D18" s="977" t="str">
        <f>'2324 Funding Detail'!C17</f>
        <v>School Size 5 Transition Point</v>
      </c>
      <c r="E18" s="978">
        <f>'2324 Band Calculations'!D19</f>
        <v>9.0163934426229511E-2</v>
      </c>
      <c r="F18" s="978">
        <f>'2324 Band Calculations'!E19</f>
        <v>0.45901639344262296</v>
      </c>
      <c r="G18" s="978">
        <f>'2324 Band Calculations'!F19</f>
        <v>6.5573770491803282E-2</v>
      </c>
      <c r="H18" s="978">
        <f>'2324 Band Calculations'!G19</f>
        <v>8.1967213114754092E-2</v>
      </c>
      <c r="I18" s="978">
        <f>'2324 Band Calculations'!H19</f>
        <v>9.0163934426229511E-2</v>
      </c>
      <c r="J18" s="978">
        <f>'2324 Band Calculations'!I19</f>
        <v>6.5573770491803282E-2</v>
      </c>
      <c r="K18" s="978">
        <f>'2324 Band Calculations'!J19</f>
        <v>0.14754098360655737</v>
      </c>
      <c r="L18" s="979">
        <v>6630</v>
      </c>
      <c r="M18" s="979">
        <v>7894</v>
      </c>
      <c r="N18" s="979">
        <v>15567</v>
      </c>
      <c r="O18" s="979">
        <v>15892</v>
      </c>
      <c r="P18" s="979">
        <v>15892</v>
      </c>
      <c r="Q18" s="979">
        <v>17018</v>
      </c>
      <c r="R18" s="979">
        <v>24406</v>
      </c>
      <c r="S18" s="979">
        <f>'2324 Funding Detail'!H17</f>
        <v>1760286.9508196723</v>
      </c>
      <c r="T18" s="979">
        <f>'2324 Funding Detail'!D17+'2324 Funding Detail'!E17</f>
        <v>660518.40000000002</v>
      </c>
      <c r="U18" s="979">
        <f>VLOOKUP(A18,'2324 FSM Calculation'!$A$4:$D$20,4,FALSE)</f>
        <v>12017.5</v>
      </c>
      <c r="V18" s="979">
        <f>VLOOKUP(A18,'2324 Funding Detail'!$A$4:$Q$20,17,FALSE)</f>
        <v>0</v>
      </c>
      <c r="W18" s="979">
        <f>VLOOKUP(A18,'2324 Funding Detail'!A17:R33,18,FALSE)</f>
        <v>2432822.8508196725</v>
      </c>
      <c r="X18" s="998">
        <v>1913075.1305104094</v>
      </c>
      <c r="Y18" s="979">
        <f>'2324 Funding Detail'!V17</f>
        <v>1386666.6666666667</v>
      </c>
      <c r="Z18" s="979">
        <f>'2324 Funding Detail'!Z17</f>
        <v>1046156.1841530057</v>
      </c>
      <c r="AA18" s="979">
        <f>'2324 Funding Detail'!U17</f>
        <v>17544.395558795713</v>
      </c>
      <c r="AB18" s="7">
        <f>VLOOKUP(A18,'[14]2122 Pay &amp; Pension Allocations'!A70:V87,22,(FALSE))</f>
        <v>78768.115720583548</v>
      </c>
      <c r="AC18" s="7">
        <f t="shared" si="2"/>
        <v>2354054.7350990889</v>
      </c>
      <c r="AD18" s="983"/>
      <c r="AE18" s="980">
        <f t="shared" si="3"/>
        <v>4.7120231735783176E-2</v>
      </c>
      <c r="AF18" t="b">
        <f t="shared" si="0"/>
        <v>1</v>
      </c>
      <c r="AG18" s="981">
        <f t="shared" si="4"/>
        <v>2468689.9116018205</v>
      </c>
      <c r="AH18" s="1008">
        <f t="shared" si="5"/>
        <v>4.8696903599357605E-2</v>
      </c>
      <c r="AI18" t="b">
        <f t="shared" si="1"/>
        <v>1</v>
      </c>
    </row>
    <row r="19" spans="1:35" ht="25" x14ac:dyDescent="0.25">
      <c r="A19" s="78">
        <v>9257021</v>
      </c>
      <c r="B19" s="15" t="s">
        <v>263</v>
      </c>
      <c r="C19" s="977">
        <f>'2324 Funding Detail'!M18</f>
        <v>178.58333333333334</v>
      </c>
      <c r="D19" s="977" t="str">
        <f>'2324 Funding Detail'!C18</f>
        <v>School Size 5 Transition Point</v>
      </c>
      <c r="E19" s="978">
        <f>'2324 Band Calculations'!D20</f>
        <v>0.21176470588235294</v>
      </c>
      <c r="F19" s="978">
        <f>'2324 Band Calculations'!E20</f>
        <v>0.52352941176470591</v>
      </c>
      <c r="G19" s="978">
        <f>'2324 Band Calculations'!F20</f>
        <v>0.10588235294117647</v>
      </c>
      <c r="H19" s="978">
        <f>'2324 Band Calculations'!G20</f>
        <v>7.0588235294117646E-2</v>
      </c>
      <c r="I19" s="978">
        <f>'2324 Band Calculations'!H20</f>
        <v>2.9411764705882353E-2</v>
      </c>
      <c r="J19" s="978">
        <f>'2324 Band Calculations'!I20</f>
        <v>4.7058823529411764E-2</v>
      </c>
      <c r="K19" s="978">
        <f>'2324 Band Calculations'!J20</f>
        <v>1.1764705882352941E-2</v>
      </c>
      <c r="L19" s="979">
        <v>6630</v>
      </c>
      <c r="M19" s="979">
        <v>7894</v>
      </c>
      <c r="N19" s="979">
        <v>15567</v>
      </c>
      <c r="O19" s="979">
        <v>15892</v>
      </c>
      <c r="P19" s="979">
        <v>15892</v>
      </c>
      <c r="Q19" s="979">
        <v>17018</v>
      </c>
      <c r="R19" s="979">
        <v>24406</v>
      </c>
      <c r="S19" s="979">
        <f>'2324 Funding Detail'!H18</f>
        <v>1761222.4490196081</v>
      </c>
      <c r="T19" s="979">
        <f>'2324 Funding Detail'!D18+'2324 Funding Detail'!E18</f>
        <v>660518.40000000002</v>
      </c>
      <c r="U19" s="979">
        <f>VLOOKUP(A19,'2324 FSM Calculation'!$A$4:$D$20,4,FALSE)</f>
        <v>31245.5</v>
      </c>
      <c r="V19" s="979">
        <f>VLOOKUP(A19,'2324 Funding Detail'!$A$4:$Q$20,17,FALSE)</f>
        <v>0</v>
      </c>
      <c r="W19" s="979">
        <f>VLOOKUP(A19,'2324 Funding Detail'!A18:R34,18,FALSE)</f>
        <v>2452986.349019608</v>
      </c>
      <c r="X19" s="998">
        <v>2238144.7625439442</v>
      </c>
      <c r="Y19" s="979">
        <f>'2324 Funding Detail'!V18</f>
        <v>1785833.3333333335</v>
      </c>
      <c r="Z19" s="979">
        <f>'2324 Funding Detail'!Z18</f>
        <v>667153.01568627451</v>
      </c>
      <c r="AA19" s="979">
        <f>'2324 Funding Detail'!U18</f>
        <v>13735.807833987537</v>
      </c>
      <c r="AB19" s="7">
        <f>VLOOKUP(A19,'[14]2122 Pay &amp; Pension Allocations'!A71:V88,22,(FALSE))</f>
        <v>118206.64476197984</v>
      </c>
      <c r="AC19" s="7">
        <f t="shared" si="2"/>
        <v>2334779.7042576279</v>
      </c>
      <c r="AD19" s="174"/>
      <c r="AE19" s="980">
        <f t="shared" si="3"/>
        <v>3.7748093412808839E-2</v>
      </c>
      <c r="AF19" t="b">
        <f t="shared" si="0"/>
        <v>1</v>
      </c>
      <c r="AG19" s="981">
        <f t="shared" si="4"/>
        <v>2427375.262100765</v>
      </c>
      <c r="AH19" s="1008">
        <f t="shared" si="5"/>
        <v>3.965922681025659E-2</v>
      </c>
      <c r="AI19" t="b">
        <f t="shared" si="1"/>
        <v>1</v>
      </c>
    </row>
    <row r="20" spans="1:35" ht="25" x14ac:dyDescent="0.25">
      <c r="A20" s="78">
        <v>9257015</v>
      </c>
      <c r="B20" s="15" t="s">
        <v>72</v>
      </c>
      <c r="C20" s="977">
        <f>'2324 Funding Detail'!M19</f>
        <v>234.33333333333337</v>
      </c>
      <c r="D20" s="977" t="str">
        <f>'2324 Funding Detail'!C19</f>
        <v>School Size 6 Transition Point</v>
      </c>
      <c r="E20" s="978">
        <f>'2324 Band Calculations'!D21</f>
        <v>0.26991150442477874</v>
      </c>
      <c r="F20" s="978">
        <f>'2324 Band Calculations'!E21</f>
        <v>0.42035398230088494</v>
      </c>
      <c r="G20" s="978">
        <f>'2324 Band Calculations'!F21</f>
        <v>2.2123893805309734E-2</v>
      </c>
      <c r="H20" s="978">
        <f>'2324 Band Calculations'!G21</f>
        <v>8.8495575221238937E-2</v>
      </c>
      <c r="I20" s="978">
        <f>'2324 Band Calculations'!H21</f>
        <v>2.2123893805309734E-2</v>
      </c>
      <c r="J20" s="978">
        <f>'2324 Band Calculations'!I21</f>
        <v>0.15929203539823009</v>
      </c>
      <c r="K20" s="978">
        <f>'2324 Band Calculations'!J21</f>
        <v>1.7699115044247787E-2</v>
      </c>
      <c r="L20" s="979">
        <v>6630</v>
      </c>
      <c r="M20" s="979">
        <v>7894</v>
      </c>
      <c r="N20" s="979">
        <v>15567</v>
      </c>
      <c r="O20" s="979">
        <v>15892</v>
      </c>
      <c r="P20" s="979">
        <v>15892</v>
      </c>
      <c r="Q20" s="979">
        <v>17018</v>
      </c>
      <c r="R20" s="979">
        <v>24406</v>
      </c>
      <c r="S20" s="979">
        <f>'2324 Funding Detail'!H19</f>
        <v>2426041.5943952803</v>
      </c>
      <c r="T20" s="979">
        <f>'2324 Funding Detail'!D19+'2324 Funding Detail'!E19</f>
        <v>769039.2</v>
      </c>
      <c r="U20" s="979">
        <f>VLOOKUP(A20,'2324 FSM Calculation'!$A$4:$D$20,4,FALSE)</f>
        <v>59606.799999999996</v>
      </c>
      <c r="V20" s="979">
        <f>VLOOKUP(A20,'2324 Funding Detail'!$A$4:$Q$20,17,FALSE)</f>
        <v>0</v>
      </c>
      <c r="W20" s="979">
        <f>VLOOKUP(A20,'2324 Funding Detail'!A19:R35,18,FALSE)</f>
        <v>3254687.5943952799</v>
      </c>
      <c r="X20" s="998">
        <v>2850992.1754066581</v>
      </c>
      <c r="Y20" s="979">
        <f>'2324 Funding Detail'!V19</f>
        <v>2343333.3333333335</v>
      </c>
      <c r="Z20" s="979">
        <f>'2324 Funding Detail'!Z19</f>
        <v>911354.2610619464</v>
      </c>
      <c r="AA20" s="979">
        <f>'2324 Funding Detail'!U19</f>
        <v>13889.136249197494</v>
      </c>
      <c r="AB20" s="7">
        <f>VLOOKUP(A20,'[14]2122 Pay &amp; Pension Allocations'!A72:V89,22,(FALSE))</f>
        <v>160090.15138303587</v>
      </c>
      <c r="AC20" s="7">
        <f t="shared" si="2"/>
        <v>3094597.4430122441</v>
      </c>
      <c r="AD20" s="174"/>
      <c r="AE20" s="980">
        <f t="shared" si="3"/>
        <v>3.6290461291182116E-2</v>
      </c>
      <c r="AF20" t="b">
        <f t="shared" si="0"/>
        <v>1</v>
      </c>
      <c r="AG20" s="981">
        <f t="shared" si="4"/>
        <v>3212711.5571715366</v>
      </c>
      <c r="AH20" s="1008">
        <f>(AG20-AC20)/AC20</f>
        <v>3.8167844553093688E-2</v>
      </c>
      <c r="AI20" t="b">
        <f t="shared" si="1"/>
        <v>1</v>
      </c>
    </row>
    <row r="21" spans="1:35" ht="25" x14ac:dyDescent="0.25">
      <c r="A21" s="78">
        <v>9257016</v>
      </c>
      <c r="B21" s="15" t="s">
        <v>73</v>
      </c>
      <c r="C21" s="977">
        <f>'2324 Funding Detail'!M20</f>
        <v>165.16666666666669</v>
      </c>
      <c r="D21" s="977" t="str">
        <f>'2324 Funding Detail'!C20</f>
        <v>School Size 6 Transition Point</v>
      </c>
      <c r="E21" s="978">
        <f>'2324 Band Calculations'!D22</f>
        <v>0.11874999999999999</v>
      </c>
      <c r="F21" s="978">
        <f>'2324 Band Calculations'!E22</f>
        <v>0.21249999999999999</v>
      </c>
      <c r="G21" s="978">
        <f>'2324 Band Calculations'!F22</f>
        <v>1.2500000000000001E-2</v>
      </c>
      <c r="H21" s="978">
        <f>'2324 Band Calculations'!G22</f>
        <v>0.24374999999999999</v>
      </c>
      <c r="I21" s="978">
        <f>'2324 Band Calculations'!H22</f>
        <v>0.18124999999999999</v>
      </c>
      <c r="J21" s="978">
        <f>'2324 Band Calculations'!I22</f>
        <v>1.8749999999999999E-2</v>
      </c>
      <c r="K21" s="978">
        <f>'2324 Band Calculations'!J22</f>
        <v>0.21249999999999999</v>
      </c>
      <c r="L21" s="979">
        <v>6630</v>
      </c>
      <c r="M21" s="979">
        <v>7894</v>
      </c>
      <c r="N21" s="979">
        <v>15567</v>
      </c>
      <c r="O21" s="979">
        <v>15892</v>
      </c>
      <c r="P21" s="979">
        <v>15892</v>
      </c>
      <c r="Q21" s="979">
        <v>17018</v>
      </c>
      <c r="R21" s="979">
        <v>24406</v>
      </c>
      <c r="S21" s="979">
        <f>'2324 Funding Detail'!H20</f>
        <v>2464094.6604166673</v>
      </c>
      <c r="T21" s="979">
        <f>'2324 Funding Detail'!D20+'2324 Funding Detail'!E20</f>
        <v>769039.2</v>
      </c>
      <c r="U21" s="979">
        <f>VLOOKUP(A21,'2324 FSM Calculation'!$A$4:$D$20,4,FALSE)</f>
        <v>20670.099999999999</v>
      </c>
      <c r="V21" s="979">
        <f>VLOOKUP(A21,'2324 Funding Detail'!$A$4:$Q$20,17,FALSE)</f>
        <v>0</v>
      </c>
      <c r="W21" s="979">
        <f>VLOOKUP(A21,'2324 Funding Detail'!A20:R36,18,FALSE)</f>
        <v>3253803.9604166676</v>
      </c>
      <c r="X21" s="998">
        <v>2950635.0745693133</v>
      </c>
      <c r="Y21" s="979">
        <f>'2324 Funding Detail'!V20</f>
        <v>1651666.6666666667</v>
      </c>
      <c r="Z21" s="979">
        <f>'2324 Funding Detail'!Z20</f>
        <v>1602137.2937500009</v>
      </c>
      <c r="AA21" s="979">
        <f>'2324 Funding Detail'!U20</f>
        <v>19700.124886478308</v>
      </c>
      <c r="AB21" s="7">
        <f>VLOOKUP(A21,'[14]2122 Pay &amp; Pension Allocations'!A73:V90,22,(FALSE))</f>
        <v>102627.76775947589</v>
      </c>
      <c r="AC21" s="7">
        <f t="shared" si="2"/>
        <v>3151176.1926571918</v>
      </c>
      <c r="AD21" s="174"/>
      <c r="AE21" s="980">
        <f t="shared" si="3"/>
        <v>5.0469129081244277E-2</v>
      </c>
      <c r="AF21" t="b">
        <f t="shared" si="0"/>
        <v>1</v>
      </c>
      <c r="AG21" s="981">
        <f t="shared" si="4"/>
        <v>3315392.8447405244</v>
      </c>
      <c r="AH21" s="1008">
        <f t="shared" si="5"/>
        <v>5.2112811865609746E-2</v>
      </c>
      <c r="AI21" t="b">
        <f t="shared" si="1"/>
        <v>1</v>
      </c>
    </row>
    <row r="22" spans="1:35" x14ac:dyDescent="0.25">
      <c r="E22" s="984"/>
      <c r="F22" s="984"/>
      <c r="G22" s="984"/>
      <c r="H22" s="984"/>
      <c r="I22" s="984"/>
      <c r="J22" s="984"/>
      <c r="K22" s="984"/>
      <c r="S22" s="981"/>
      <c r="T22" s="981"/>
      <c r="U22" s="981"/>
      <c r="V22" s="981"/>
      <c r="W22" s="981"/>
      <c r="X22" s="981"/>
      <c r="Y22" s="981"/>
      <c r="Z22" s="981"/>
      <c r="AA22" s="981"/>
      <c r="AB22" s="981"/>
      <c r="AC22" s="981"/>
      <c r="AD22" s="174"/>
    </row>
    <row r="23" spans="1:35" ht="13" x14ac:dyDescent="0.3">
      <c r="C23" s="4" t="s">
        <v>1172</v>
      </c>
      <c r="E23" s="984"/>
      <c r="F23" s="984"/>
      <c r="G23" s="984"/>
      <c r="H23" s="984"/>
      <c r="I23" s="984"/>
      <c r="J23" s="984"/>
      <c r="K23" s="984"/>
      <c r="S23" s="981"/>
      <c r="T23" s="981"/>
      <c r="U23" s="981"/>
      <c r="V23" s="981"/>
      <c r="W23" s="981"/>
      <c r="X23" s="981"/>
      <c r="Y23" s="981"/>
      <c r="Z23" s="981"/>
      <c r="AA23" s="981"/>
      <c r="AB23" s="981"/>
      <c r="AC23" s="981"/>
      <c r="AD23" s="174"/>
      <c r="AH23" s="1014">
        <f>AVERAGE(AH5:AH21)</f>
        <v>3.9032919892163447E-2</v>
      </c>
    </row>
    <row r="24" spans="1:35" x14ac:dyDescent="0.25">
      <c r="E24" s="984"/>
      <c r="F24" s="984"/>
      <c r="G24" s="984"/>
      <c r="H24" s="984"/>
      <c r="I24" s="984"/>
      <c r="J24" s="984"/>
      <c r="K24" s="984"/>
      <c r="S24" s="981"/>
      <c r="T24" s="981"/>
      <c r="U24" s="981"/>
      <c r="V24" s="981"/>
      <c r="W24" s="981"/>
      <c r="X24" s="981"/>
      <c r="Y24" s="981"/>
      <c r="Z24" s="981"/>
      <c r="AA24" s="981"/>
      <c r="AB24" s="981"/>
      <c r="AC24" s="981"/>
      <c r="AD24" s="174"/>
    </row>
    <row r="25" spans="1:35" ht="25" customHeight="1" x14ac:dyDescent="0.25">
      <c r="C25" s="367" t="s">
        <v>1112</v>
      </c>
      <c r="D25" s="974" t="s">
        <v>322</v>
      </c>
      <c r="E25" s="73" t="s">
        <v>280</v>
      </c>
      <c r="F25" s="73" t="s">
        <v>281</v>
      </c>
      <c r="G25" s="73" t="s">
        <v>282</v>
      </c>
      <c r="H25" s="73" t="s">
        <v>283</v>
      </c>
      <c r="I25" s="73" t="s">
        <v>284</v>
      </c>
      <c r="J25" s="73" t="s">
        <v>285</v>
      </c>
      <c r="K25" s="73" t="s">
        <v>286</v>
      </c>
      <c r="L25" s="73" t="s">
        <v>229</v>
      </c>
      <c r="M25" s="73" t="s">
        <v>230</v>
      </c>
      <c r="N25" s="73" t="s">
        <v>231</v>
      </c>
      <c r="O25" s="73" t="s">
        <v>232</v>
      </c>
      <c r="P25" s="73" t="s">
        <v>233</v>
      </c>
      <c r="Q25" s="73" t="s">
        <v>234</v>
      </c>
      <c r="R25" s="73" t="s">
        <v>235</v>
      </c>
      <c r="S25" s="73" t="s">
        <v>413</v>
      </c>
      <c r="T25" s="73" t="s">
        <v>1113</v>
      </c>
      <c r="U25" s="73" t="s">
        <v>1114</v>
      </c>
      <c r="V25" s="73" t="s">
        <v>1115</v>
      </c>
      <c r="W25" s="73" t="s">
        <v>54</v>
      </c>
      <c r="X25" s="996" t="s">
        <v>1116</v>
      </c>
      <c r="Y25" s="73" t="s">
        <v>198</v>
      </c>
      <c r="Z25" s="73" t="s">
        <v>1117</v>
      </c>
      <c r="AA25" s="73" t="s">
        <v>1118</v>
      </c>
      <c r="AB25" s="73" t="s">
        <v>1119</v>
      </c>
      <c r="AC25" s="73" t="s">
        <v>1120</v>
      </c>
      <c r="AD25" s="975"/>
      <c r="AE25" s="367"/>
      <c r="AF25" s="9"/>
      <c r="AG25" s="73"/>
      <c r="AH25" s="367"/>
      <c r="AI25" s="9"/>
    </row>
    <row r="26" spans="1:35" x14ac:dyDescent="0.25">
      <c r="C26" s="974"/>
      <c r="D26" s="974"/>
      <c r="E26" s="73"/>
      <c r="F26" s="73"/>
      <c r="G26" s="73"/>
      <c r="H26" s="73"/>
      <c r="I26" s="73"/>
      <c r="J26" s="73"/>
      <c r="K26" s="73"/>
      <c r="L26" s="73"/>
      <c r="M26" s="73"/>
      <c r="N26" s="73"/>
      <c r="O26" s="73"/>
      <c r="P26" s="73"/>
      <c r="Q26" s="73"/>
      <c r="R26" s="73"/>
      <c r="S26" s="73"/>
      <c r="T26" s="73"/>
      <c r="U26" s="73"/>
      <c r="V26" s="73"/>
      <c r="W26" s="73"/>
      <c r="X26" s="996"/>
      <c r="Y26" s="73"/>
      <c r="Z26" s="73"/>
      <c r="AA26" s="73"/>
      <c r="AB26" s="73"/>
      <c r="AC26" s="73"/>
      <c r="AD26" s="975"/>
      <c r="AE26" s="367"/>
      <c r="AF26" s="583"/>
      <c r="AG26" s="583"/>
      <c r="AH26" s="583"/>
      <c r="AI26" s="583"/>
    </row>
    <row r="27" spans="1:35" ht="25" x14ac:dyDescent="0.25">
      <c r="A27" s="33">
        <v>9257010</v>
      </c>
      <c r="B27" t="s">
        <v>333</v>
      </c>
      <c r="C27" s="977">
        <v>139.33333333333334</v>
      </c>
      <c r="D27" s="977" t="s">
        <v>249</v>
      </c>
      <c r="E27" s="978">
        <v>0.10738255033557047</v>
      </c>
      <c r="F27" s="978">
        <v>0.44966442953020136</v>
      </c>
      <c r="G27" s="978">
        <v>6.0402684563758392E-2</v>
      </c>
      <c r="H27" s="978">
        <v>0.16107382550335569</v>
      </c>
      <c r="I27" s="978">
        <v>7.3825503355704702E-2</v>
      </c>
      <c r="J27" s="978">
        <v>6.7114093959731544E-2</v>
      </c>
      <c r="K27" s="978">
        <v>8.0536912751677847E-2</v>
      </c>
      <c r="L27" s="979">
        <v>6733</v>
      </c>
      <c r="M27" s="979">
        <v>7996</v>
      </c>
      <c r="N27" s="979">
        <v>16035</v>
      </c>
      <c r="O27" s="979">
        <v>16392</v>
      </c>
      <c r="P27" s="979">
        <v>16392</v>
      </c>
      <c r="Q27" s="979">
        <v>17381</v>
      </c>
      <c r="R27" s="979">
        <v>26008</v>
      </c>
      <c r="S27" s="979">
        <v>1727547.2438478745</v>
      </c>
      <c r="T27" s="979">
        <v>714870</v>
      </c>
      <c r="U27" s="979">
        <v>23529.599999999999</v>
      </c>
      <c r="V27" s="979">
        <v>82.458329797119717</v>
      </c>
      <c r="W27" s="979">
        <v>2466029.3021776718</v>
      </c>
      <c r="X27" s="998"/>
      <c r="Y27" s="979">
        <v>1393333.3333333335</v>
      </c>
      <c r="Z27" s="979">
        <v>1072695.9688443383</v>
      </c>
      <c r="AA27" s="979">
        <v>17698.774896011997</v>
      </c>
      <c r="AB27" s="7">
        <v>65551.014693693302</v>
      </c>
      <c r="AC27" s="7">
        <v>2400478.2874839786</v>
      </c>
      <c r="AD27" s="975"/>
      <c r="AE27" s="980"/>
      <c r="AG27" s="981"/>
      <c r="AH27" s="982"/>
    </row>
    <row r="28" spans="1:35" ht="25" customHeight="1" x14ac:dyDescent="0.25">
      <c r="A28" s="33">
        <v>9257005</v>
      </c>
      <c r="B28" t="s">
        <v>259</v>
      </c>
      <c r="C28" s="977">
        <v>79.75</v>
      </c>
      <c r="D28" s="977" t="s">
        <v>246</v>
      </c>
      <c r="E28" s="978">
        <v>8.4507042253521125E-2</v>
      </c>
      <c r="F28" s="978">
        <v>0.352112676056338</v>
      </c>
      <c r="G28" s="978">
        <v>8.4507042253521125E-2</v>
      </c>
      <c r="H28" s="978">
        <v>0.12676056338028169</v>
      </c>
      <c r="I28" s="978">
        <v>0.11267605633802817</v>
      </c>
      <c r="J28" s="978">
        <v>0.16901408450704225</v>
      </c>
      <c r="K28" s="978">
        <v>7.0422535211267609E-2</v>
      </c>
      <c r="L28" s="979">
        <v>6733</v>
      </c>
      <c r="M28" s="979">
        <v>7996</v>
      </c>
      <c r="N28" s="979">
        <v>16035</v>
      </c>
      <c r="O28" s="979">
        <v>16392</v>
      </c>
      <c r="P28" s="979">
        <v>16392</v>
      </c>
      <c r="Q28" s="979">
        <v>17381</v>
      </c>
      <c r="R28" s="979">
        <v>26008</v>
      </c>
      <c r="S28" s="979">
        <v>1071327.8028169014</v>
      </c>
      <c r="T28" s="979">
        <v>550449</v>
      </c>
      <c r="U28" s="979">
        <v>10784.4</v>
      </c>
      <c r="V28" s="979">
        <v>0</v>
      </c>
      <c r="W28" s="979">
        <v>1632561.2028169013</v>
      </c>
      <c r="X28" s="998"/>
      <c r="Y28" s="979">
        <v>797500</v>
      </c>
      <c r="Z28" s="979">
        <v>835061.20281690126</v>
      </c>
      <c r="AA28" s="979">
        <v>20470.986869177446</v>
      </c>
      <c r="AB28" s="7">
        <v>64140.621918921053</v>
      </c>
      <c r="AC28" s="7">
        <v>1568420.5808979801</v>
      </c>
      <c r="AD28" s="975"/>
      <c r="AE28" s="980"/>
      <c r="AG28" s="981"/>
      <c r="AH28" s="982"/>
    </row>
    <row r="29" spans="1:35" ht="12.5" customHeight="1" x14ac:dyDescent="0.25">
      <c r="A29" s="33">
        <v>9257025</v>
      </c>
      <c r="B29" t="s">
        <v>260</v>
      </c>
      <c r="C29" s="977">
        <v>96</v>
      </c>
      <c r="D29" s="977" t="s">
        <v>246</v>
      </c>
      <c r="E29" s="978">
        <v>0.13333333333333333</v>
      </c>
      <c r="F29" s="978">
        <v>0.53333333333333333</v>
      </c>
      <c r="G29" s="978">
        <v>4.4444444444444446E-2</v>
      </c>
      <c r="H29" s="978">
        <v>0.1111111111111111</v>
      </c>
      <c r="I29" s="978">
        <v>1.1111111111111112E-2</v>
      </c>
      <c r="J29" s="978">
        <v>0.12222222222222222</v>
      </c>
      <c r="K29" s="978">
        <v>4.4444444444444446E-2</v>
      </c>
      <c r="L29" s="979">
        <v>6733</v>
      </c>
      <c r="M29" s="979">
        <v>7996</v>
      </c>
      <c r="N29" s="979">
        <v>16035</v>
      </c>
      <c r="O29" s="979">
        <v>16392</v>
      </c>
      <c r="P29" s="979">
        <v>16392</v>
      </c>
      <c r="Q29" s="979">
        <v>17381</v>
      </c>
      <c r="R29" s="979">
        <v>26008</v>
      </c>
      <c r="S29" s="979">
        <v>1071230.9333333333</v>
      </c>
      <c r="T29" s="979">
        <v>550449</v>
      </c>
      <c r="U29" s="979">
        <v>20098.2</v>
      </c>
      <c r="V29" s="979">
        <v>5204.8528368857351</v>
      </c>
      <c r="W29" s="979">
        <v>1646982.986170219</v>
      </c>
      <c r="X29" s="998"/>
      <c r="Y29" s="979">
        <v>960000</v>
      </c>
      <c r="Z29" s="979">
        <v>686982.98617021902</v>
      </c>
      <c r="AA29" s="979">
        <v>17156.072772606447</v>
      </c>
      <c r="AB29" s="7">
        <v>59153.696869799751</v>
      </c>
      <c r="AC29" s="7">
        <v>1587829.2893004194</v>
      </c>
      <c r="AD29" s="975"/>
      <c r="AE29" s="980"/>
      <c r="AG29" s="981"/>
      <c r="AH29" s="982"/>
    </row>
    <row r="30" spans="1:35" x14ac:dyDescent="0.25">
      <c r="A30" s="33">
        <v>9257024</v>
      </c>
      <c r="B30" t="s">
        <v>261</v>
      </c>
      <c r="C30" s="977">
        <v>92.916666666666671</v>
      </c>
      <c r="D30" s="977" t="s">
        <v>246</v>
      </c>
      <c r="E30" s="978">
        <v>8.2352941176470587E-2</v>
      </c>
      <c r="F30" s="978">
        <v>0.54117647058823526</v>
      </c>
      <c r="G30" s="978">
        <v>1.1764705882352941E-2</v>
      </c>
      <c r="H30" s="978">
        <v>0.17647058823529413</v>
      </c>
      <c r="I30" s="978">
        <v>7.0588235294117646E-2</v>
      </c>
      <c r="J30" s="978">
        <v>4.7058823529411764E-2</v>
      </c>
      <c r="K30" s="978">
        <v>7.0588235294117646E-2</v>
      </c>
      <c r="L30" s="979">
        <v>6733</v>
      </c>
      <c r="M30" s="979">
        <v>7996</v>
      </c>
      <c r="N30" s="979">
        <v>16035</v>
      </c>
      <c r="O30" s="979">
        <v>16392</v>
      </c>
      <c r="P30" s="979">
        <v>16392</v>
      </c>
      <c r="Q30" s="979">
        <v>17381</v>
      </c>
      <c r="R30" s="979">
        <v>26008</v>
      </c>
      <c r="S30" s="979">
        <v>1093996.4607843137</v>
      </c>
      <c r="T30" s="979">
        <v>550449</v>
      </c>
      <c r="U30" s="979">
        <v>14706</v>
      </c>
      <c r="V30" s="979">
        <v>4780.2404430071419</v>
      </c>
      <c r="W30" s="979">
        <v>1663931.7012273208</v>
      </c>
      <c r="X30" s="998"/>
      <c r="Y30" s="979">
        <v>929166.66666666674</v>
      </c>
      <c r="Z30" s="979">
        <v>734765.03456065408</v>
      </c>
      <c r="AA30" s="979">
        <v>17907.785125316455</v>
      </c>
      <c r="AB30" s="7">
        <v>59372.650306774223</v>
      </c>
      <c r="AC30" s="7">
        <v>1604559.0509205465</v>
      </c>
      <c r="AD30" s="975"/>
      <c r="AE30" s="980"/>
      <c r="AG30" s="981"/>
      <c r="AH30" s="982"/>
    </row>
    <row r="31" spans="1:35" x14ac:dyDescent="0.25">
      <c r="A31" s="33">
        <v>9257031</v>
      </c>
      <c r="B31" t="s">
        <v>169</v>
      </c>
      <c r="C31" s="977">
        <v>80.583333333333343</v>
      </c>
      <c r="D31" s="977" t="s">
        <v>248</v>
      </c>
      <c r="E31" s="978">
        <v>0</v>
      </c>
      <c r="F31" s="978">
        <v>0</v>
      </c>
      <c r="G31" s="978">
        <v>1</v>
      </c>
      <c r="H31" s="978">
        <v>0</v>
      </c>
      <c r="I31" s="978">
        <v>0</v>
      </c>
      <c r="J31" s="978">
        <v>0</v>
      </c>
      <c r="K31" s="978">
        <v>0</v>
      </c>
      <c r="L31" s="979">
        <v>6733</v>
      </c>
      <c r="M31" s="979">
        <v>7996</v>
      </c>
      <c r="N31" s="979">
        <v>16035</v>
      </c>
      <c r="O31" s="979">
        <v>16392</v>
      </c>
      <c r="P31" s="979">
        <v>16392</v>
      </c>
      <c r="Q31" s="979">
        <v>17381</v>
      </c>
      <c r="R31" s="979">
        <v>26008</v>
      </c>
      <c r="S31" s="979">
        <v>1292153.75</v>
      </c>
      <c r="T31" s="979">
        <v>537115</v>
      </c>
      <c r="U31" s="979">
        <v>21568.799999999999</v>
      </c>
      <c r="V31" s="979">
        <v>0</v>
      </c>
      <c r="W31" s="979">
        <v>1850837.55</v>
      </c>
      <c r="X31" s="998"/>
      <c r="Y31" s="979">
        <v>805833.33333333337</v>
      </c>
      <c r="Z31" s="979">
        <v>1045004.2166666667</v>
      </c>
      <c r="AA31" s="979">
        <v>22967.994415718716</v>
      </c>
      <c r="AB31" s="7">
        <v>60527.552121208268</v>
      </c>
      <c r="AC31" s="7">
        <v>1790309.9978787918</v>
      </c>
      <c r="AD31" s="975"/>
      <c r="AE31" s="980"/>
      <c r="AG31" s="981"/>
      <c r="AH31" s="982"/>
    </row>
    <row r="32" spans="1:35" x14ac:dyDescent="0.25">
      <c r="A32" s="33">
        <v>9257033</v>
      </c>
      <c r="B32" t="s">
        <v>269</v>
      </c>
      <c r="C32" s="977">
        <v>113.75000000000001</v>
      </c>
      <c r="D32" s="977" t="s">
        <v>246</v>
      </c>
      <c r="E32" s="978">
        <v>0.13513513513513514</v>
      </c>
      <c r="F32" s="978">
        <v>0.67567567567567566</v>
      </c>
      <c r="G32" s="978">
        <v>9.0090090090090089E-3</v>
      </c>
      <c r="H32" s="978">
        <v>9.0090090090090086E-2</v>
      </c>
      <c r="I32" s="978">
        <v>4.5045045045045043E-2</v>
      </c>
      <c r="J32" s="978">
        <v>2.7027027027027029E-2</v>
      </c>
      <c r="K32" s="978">
        <v>1.8018018018018018E-2</v>
      </c>
      <c r="L32" s="979">
        <v>6733</v>
      </c>
      <c r="M32" s="979">
        <v>7996</v>
      </c>
      <c r="N32" s="979">
        <v>16035</v>
      </c>
      <c r="O32" s="979">
        <v>16392</v>
      </c>
      <c r="P32" s="979">
        <v>16392</v>
      </c>
      <c r="Q32" s="979">
        <v>17381</v>
      </c>
      <c r="R32" s="979">
        <v>26008</v>
      </c>
      <c r="S32" s="979">
        <v>1093197.9617117117</v>
      </c>
      <c r="T32" s="979">
        <v>550449</v>
      </c>
      <c r="U32" s="979">
        <v>31372.799999999999</v>
      </c>
      <c r="V32" s="979">
        <v>0</v>
      </c>
      <c r="W32" s="979">
        <v>1675019.7617117118</v>
      </c>
      <c r="X32" s="998"/>
      <c r="Y32" s="979">
        <v>1137500.0000000002</v>
      </c>
      <c r="Z32" s="979">
        <v>537519.76171171153</v>
      </c>
      <c r="AA32" s="979">
        <v>14725.448454608453</v>
      </c>
      <c r="AB32" s="7">
        <v>70964.480012963322</v>
      </c>
      <c r="AC32" s="7">
        <v>1604055.2816987485</v>
      </c>
      <c r="AD32" s="975"/>
      <c r="AE32" s="980"/>
      <c r="AG32" s="981"/>
      <c r="AH32" s="982"/>
    </row>
    <row r="33" spans="1:34" x14ac:dyDescent="0.25">
      <c r="A33" s="33">
        <v>9257008</v>
      </c>
      <c r="B33" t="s">
        <v>126</v>
      </c>
      <c r="C33" s="977">
        <v>101</v>
      </c>
      <c r="D33" s="977" t="s">
        <v>246</v>
      </c>
      <c r="E33" s="978">
        <v>0.15841584158415842</v>
      </c>
      <c r="F33" s="978">
        <v>0.62376237623762376</v>
      </c>
      <c r="G33" s="978">
        <v>4.9504950495049507E-2</v>
      </c>
      <c r="H33" s="978">
        <v>0.10891089108910891</v>
      </c>
      <c r="I33" s="978">
        <v>0</v>
      </c>
      <c r="J33" s="978">
        <v>5.9405940594059403E-2</v>
      </c>
      <c r="K33" s="978">
        <v>0</v>
      </c>
      <c r="L33" s="979">
        <v>6733</v>
      </c>
      <c r="M33" s="979">
        <v>7996</v>
      </c>
      <c r="N33" s="979">
        <v>16035</v>
      </c>
      <c r="O33" s="979">
        <v>16392</v>
      </c>
      <c r="P33" s="979">
        <v>16392</v>
      </c>
      <c r="Q33" s="979">
        <v>17381</v>
      </c>
      <c r="R33" s="979">
        <v>26008</v>
      </c>
      <c r="S33" s="979">
        <v>976249</v>
      </c>
      <c r="T33" s="979">
        <v>550449</v>
      </c>
      <c r="U33" s="979">
        <v>17157</v>
      </c>
      <c r="V33" s="979">
        <v>0</v>
      </c>
      <c r="W33" s="979">
        <v>1543855</v>
      </c>
      <c r="X33" s="998"/>
      <c r="Y33" s="979">
        <v>1010000</v>
      </c>
      <c r="Z33" s="979">
        <v>533855</v>
      </c>
      <c r="AA33" s="979">
        <v>15285.69306930693</v>
      </c>
      <c r="AB33" s="7">
        <v>72895.990389827464</v>
      </c>
      <c r="AC33" s="7">
        <v>1470959.0096101726</v>
      </c>
      <c r="AD33" s="975"/>
      <c r="AE33" s="980"/>
      <c r="AG33" s="981"/>
      <c r="AH33" s="982"/>
    </row>
    <row r="34" spans="1:34" ht="25" x14ac:dyDescent="0.25">
      <c r="A34" s="33">
        <v>9257034</v>
      </c>
      <c r="B34" t="s">
        <v>270</v>
      </c>
      <c r="C34" s="977">
        <v>128.33333333333334</v>
      </c>
      <c r="D34" s="977" t="s">
        <v>247</v>
      </c>
      <c r="E34" s="978">
        <v>0.42735042735042733</v>
      </c>
      <c r="F34" s="978">
        <v>0.3504273504273504</v>
      </c>
      <c r="G34" s="978">
        <v>9.4017094017094016E-2</v>
      </c>
      <c r="H34" s="978">
        <v>5.128205128205128E-2</v>
      </c>
      <c r="I34" s="978">
        <v>2.564102564102564E-2</v>
      </c>
      <c r="J34" s="978">
        <v>4.2735042735042736E-2</v>
      </c>
      <c r="K34" s="978">
        <v>8.5470085470085479E-3</v>
      </c>
      <c r="L34" s="979">
        <v>6733</v>
      </c>
      <c r="M34" s="979">
        <v>7996</v>
      </c>
      <c r="N34" s="979">
        <v>16035</v>
      </c>
      <c r="O34" s="979">
        <v>16392</v>
      </c>
      <c r="P34" s="979">
        <v>16392</v>
      </c>
      <c r="Q34" s="979">
        <v>17381</v>
      </c>
      <c r="R34" s="979">
        <v>26008</v>
      </c>
      <c r="S34" s="979">
        <v>1207991.7948717948</v>
      </c>
      <c r="T34" s="979">
        <v>602270</v>
      </c>
      <c r="U34" s="979">
        <v>27941.399999999998</v>
      </c>
      <c r="V34" s="979">
        <v>25596.094860370576</v>
      </c>
      <c r="W34" s="979">
        <v>1863799.2897321652</v>
      </c>
      <c r="X34" s="998"/>
      <c r="Y34" s="979">
        <v>1283333.3333333335</v>
      </c>
      <c r="Z34" s="979">
        <v>580465.95639883168</v>
      </c>
      <c r="AA34" s="979">
        <v>14523.111348562325</v>
      </c>
      <c r="AB34" s="7">
        <v>82422.383649202602</v>
      </c>
      <c r="AC34" s="7">
        <v>1781376.9060829626</v>
      </c>
      <c r="AD34" s="975"/>
      <c r="AE34" s="980"/>
      <c r="AG34" s="981"/>
      <c r="AH34" s="982"/>
    </row>
    <row r="35" spans="1:34" ht="25" x14ac:dyDescent="0.25">
      <c r="A35" s="33">
        <v>9257002</v>
      </c>
      <c r="B35" t="s">
        <v>262</v>
      </c>
      <c r="C35" s="977">
        <v>168.91666666666669</v>
      </c>
      <c r="D35" s="977" t="s">
        <v>249</v>
      </c>
      <c r="E35" s="978">
        <v>0.17682926829268292</v>
      </c>
      <c r="F35" s="978">
        <v>0.51829268292682928</v>
      </c>
      <c r="G35" s="978">
        <v>0.12804878048780488</v>
      </c>
      <c r="H35" s="978">
        <v>3.6585365853658534E-2</v>
      </c>
      <c r="I35" s="978">
        <v>3.048780487804878E-2</v>
      </c>
      <c r="J35" s="978">
        <v>9.7560975609756101E-2</v>
      </c>
      <c r="K35" s="978">
        <v>1.2195121951219513E-2</v>
      </c>
      <c r="L35" s="979">
        <v>6733</v>
      </c>
      <c r="M35" s="979">
        <v>7996</v>
      </c>
      <c r="N35" s="979">
        <v>16035</v>
      </c>
      <c r="O35" s="979">
        <v>16392</v>
      </c>
      <c r="P35" s="979">
        <v>16392</v>
      </c>
      <c r="Q35" s="979">
        <v>17381</v>
      </c>
      <c r="R35" s="979">
        <v>26008</v>
      </c>
      <c r="S35" s="979">
        <v>1773703.2784552847</v>
      </c>
      <c r="T35" s="979">
        <v>714870</v>
      </c>
      <c r="U35" s="979">
        <v>25490.399999999998</v>
      </c>
      <c r="V35" s="979">
        <v>0</v>
      </c>
      <c r="W35" s="979">
        <v>2514063.6784552843</v>
      </c>
      <c r="X35" s="998"/>
      <c r="Y35" s="979">
        <v>1689166.6666666667</v>
      </c>
      <c r="Z35" s="979">
        <v>824897.01178861759</v>
      </c>
      <c r="AA35" s="979">
        <v>14883.455422527582</v>
      </c>
      <c r="AB35" s="7">
        <v>101278.63051555897</v>
      </c>
      <c r="AC35" s="7">
        <v>2412785.0479397252</v>
      </c>
      <c r="AD35" s="975"/>
      <c r="AE35" s="980"/>
      <c r="AG35" s="981"/>
      <c r="AH35" s="982"/>
    </row>
    <row r="36" spans="1:34" ht="25" customHeight="1" x14ac:dyDescent="0.25">
      <c r="A36" s="78">
        <v>9257009</v>
      </c>
      <c r="B36" s="101" t="s">
        <v>1123</v>
      </c>
      <c r="C36" s="977">
        <v>207.83333333333337</v>
      </c>
      <c r="D36" s="977" t="s">
        <v>251</v>
      </c>
      <c r="E36" s="978">
        <v>0.17258883248730963</v>
      </c>
      <c r="F36" s="978">
        <v>0.50761421319796951</v>
      </c>
      <c r="G36" s="978">
        <v>6.5989847715736044E-2</v>
      </c>
      <c r="H36" s="978">
        <v>8.1218274111675121E-2</v>
      </c>
      <c r="I36" s="978">
        <v>3.553299492385787E-2</v>
      </c>
      <c r="J36" s="978">
        <v>8.6294416243654817E-2</v>
      </c>
      <c r="K36" s="978">
        <v>5.0761421319796954E-2</v>
      </c>
      <c r="L36" s="979">
        <v>6733</v>
      </c>
      <c r="M36" s="979">
        <v>7996</v>
      </c>
      <c r="N36" s="979">
        <v>16035</v>
      </c>
      <c r="O36" s="979">
        <v>16392</v>
      </c>
      <c r="P36" s="979">
        <v>16392</v>
      </c>
      <c r="Q36" s="979">
        <v>17381</v>
      </c>
      <c r="R36" s="979">
        <v>26008</v>
      </c>
      <c r="S36" s="979">
        <v>2288856.8950930624</v>
      </c>
      <c r="T36" s="979">
        <v>833832</v>
      </c>
      <c r="U36" s="979">
        <v>24019.8</v>
      </c>
      <c r="V36" s="979">
        <v>25360.054754919554</v>
      </c>
      <c r="W36" s="979">
        <v>3172068.7498479816</v>
      </c>
      <c r="X36" s="997"/>
      <c r="Y36" s="979">
        <v>2078333.3333333337</v>
      </c>
      <c r="Z36" s="979">
        <v>1093735.4165146479</v>
      </c>
      <c r="AA36" s="979">
        <v>15262.560143614985</v>
      </c>
      <c r="AB36" s="977">
        <f>+AB14</f>
        <v>139362.78080346057</v>
      </c>
      <c r="AC36" s="7">
        <f>+W36-AB36</f>
        <v>3032705.969044521</v>
      </c>
      <c r="AD36" s="174"/>
      <c r="AE36" s="980"/>
      <c r="AG36" s="977"/>
      <c r="AH36" s="982"/>
    </row>
    <row r="37" spans="1:34" ht="25" customHeight="1" x14ac:dyDescent="0.25">
      <c r="A37" s="33">
        <v>9257029</v>
      </c>
      <c r="B37" t="s">
        <v>278</v>
      </c>
      <c r="C37" s="977">
        <v>79</v>
      </c>
      <c r="D37" s="977" t="s">
        <v>247</v>
      </c>
      <c r="E37" s="978">
        <v>0</v>
      </c>
      <c r="F37" s="978">
        <v>0</v>
      </c>
      <c r="G37" s="978">
        <v>1</v>
      </c>
      <c r="H37" s="978">
        <v>0</v>
      </c>
      <c r="I37" s="978">
        <v>0</v>
      </c>
      <c r="J37" s="978">
        <v>0</v>
      </c>
      <c r="K37" s="978">
        <v>0</v>
      </c>
      <c r="L37" s="979">
        <v>6733</v>
      </c>
      <c r="M37" s="979">
        <v>7996</v>
      </c>
      <c r="N37" s="979">
        <v>16035</v>
      </c>
      <c r="O37" s="979">
        <v>16392</v>
      </c>
      <c r="P37" s="979">
        <v>16392</v>
      </c>
      <c r="Q37" s="979">
        <v>17381</v>
      </c>
      <c r="R37" s="979">
        <v>26008</v>
      </c>
      <c r="S37" s="979">
        <v>1266765</v>
      </c>
      <c r="T37" s="979">
        <v>502567</v>
      </c>
      <c r="U37" s="979">
        <v>11764.8</v>
      </c>
      <c r="V37" s="979">
        <v>0</v>
      </c>
      <c r="W37" s="979">
        <v>1781096.7999999998</v>
      </c>
      <c r="X37" s="998"/>
      <c r="Y37" s="979">
        <v>790000</v>
      </c>
      <c r="Z37" s="979">
        <v>991096.79999999981</v>
      </c>
      <c r="AA37" s="979">
        <v>22545.529113924047</v>
      </c>
      <c r="AB37" s="7">
        <v>55715.445274666607</v>
      </c>
      <c r="AC37" s="7">
        <v>1725381.3547253332</v>
      </c>
      <c r="AD37" s="975"/>
      <c r="AE37" s="980"/>
      <c r="AG37" s="981"/>
      <c r="AH37" s="982"/>
    </row>
    <row r="38" spans="1:34" ht="25" x14ac:dyDescent="0.25">
      <c r="A38" s="33">
        <v>9257032</v>
      </c>
      <c r="B38" t="s">
        <v>266</v>
      </c>
      <c r="C38" s="977">
        <v>110.41666666666669</v>
      </c>
      <c r="D38" s="977" t="s">
        <v>247</v>
      </c>
      <c r="E38" s="978">
        <v>0</v>
      </c>
      <c r="F38" s="978">
        <v>0</v>
      </c>
      <c r="G38" s="978">
        <v>1</v>
      </c>
      <c r="H38" s="978">
        <v>0</v>
      </c>
      <c r="I38" s="978">
        <v>0</v>
      </c>
      <c r="J38" s="978">
        <v>0</v>
      </c>
      <c r="K38" s="978">
        <v>0</v>
      </c>
      <c r="L38" s="979">
        <v>6733</v>
      </c>
      <c r="M38" s="979">
        <v>7996</v>
      </c>
      <c r="N38" s="979">
        <v>16035</v>
      </c>
      <c r="O38" s="979">
        <v>16392</v>
      </c>
      <c r="P38" s="979">
        <v>16392</v>
      </c>
      <c r="Q38" s="979">
        <v>17381</v>
      </c>
      <c r="R38" s="979">
        <v>26008</v>
      </c>
      <c r="S38" s="979">
        <v>1770531.25</v>
      </c>
      <c r="T38" s="979">
        <v>502567</v>
      </c>
      <c r="U38" s="979">
        <v>22059</v>
      </c>
      <c r="V38" s="979">
        <v>0</v>
      </c>
      <c r="W38" s="979">
        <v>2295157.25</v>
      </c>
      <c r="X38" s="998"/>
      <c r="Y38" s="979">
        <v>1104166.6666666667</v>
      </c>
      <c r="Z38" s="979">
        <v>1190990.5833333333</v>
      </c>
      <c r="AA38" s="979">
        <v>20786.329811320753</v>
      </c>
      <c r="AB38" s="7">
        <v>67500.587413583271</v>
      </c>
      <c r="AC38" s="7">
        <v>2227656.6625864166</v>
      </c>
      <c r="AD38" s="975"/>
      <c r="AE38" s="980"/>
      <c r="AG38" s="981"/>
      <c r="AH38" s="982"/>
    </row>
    <row r="39" spans="1:34" ht="25" x14ac:dyDescent="0.25">
      <c r="A39" s="33">
        <v>9257030</v>
      </c>
      <c r="B39" t="s">
        <v>268</v>
      </c>
      <c r="C39" s="977">
        <v>70</v>
      </c>
      <c r="D39" s="977" t="s">
        <v>247</v>
      </c>
      <c r="E39" s="978">
        <v>0</v>
      </c>
      <c r="F39" s="978">
        <v>0</v>
      </c>
      <c r="G39" s="978">
        <v>1</v>
      </c>
      <c r="H39" s="978">
        <v>0</v>
      </c>
      <c r="I39" s="978">
        <v>0</v>
      </c>
      <c r="J39" s="978">
        <v>0</v>
      </c>
      <c r="K39" s="978">
        <v>0</v>
      </c>
      <c r="L39" s="979">
        <v>6733</v>
      </c>
      <c r="M39" s="979">
        <v>7996</v>
      </c>
      <c r="N39" s="979">
        <v>16035</v>
      </c>
      <c r="O39" s="979">
        <v>16392</v>
      </c>
      <c r="P39" s="979">
        <v>16392</v>
      </c>
      <c r="Q39" s="979">
        <v>17381</v>
      </c>
      <c r="R39" s="979">
        <v>26008</v>
      </c>
      <c r="S39" s="979">
        <v>1122450</v>
      </c>
      <c r="T39" s="979">
        <v>502567</v>
      </c>
      <c r="U39" s="979">
        <v>14706</v>
      </c>
      <c r="V39" s="979">
        <v>0</v>
      </c>
      <c r="W39" s="979">
        <v>1639723</v>
      </c>
      <c r="X39" s="998"/>
      <c r="Y39" s="979">
        <v>700000</v>
      </c>
      <c r="Z39" s="979">
        <v>939723</v>
      </c>
      <c r="AA39" s="979">
        <v>23424.614285714284</v>
      </c>
      <c r="AB39" s="7">
        <v>54887.563388874943</v>
      </c>
      <c r="AC39" s="7">
        <v>1584835.436611125</v>
      </c>
      <c r="AD39" s="174"/>
      <c r="AE39" s="980"/>
      <c r="AG39" s="981"/>
      <c r="AH39" s="982"/>
    </row>
    <row r="40" spans="1:34" ht="25" x14ac:dyDescent="0.25">
      <c r="A40" s="33">
        <v>9257028</v>
      </c>
      <c r="B40" t="s">
        <v>70</v>
      </c>
      <c r="C40" s="977">
        <v>138.66666666666669</v>
      </c>
      <c r="D40" s="977" t="s">
        <v>249</v>
      </c>
      <c r="E40" s="978">
        <v>9.0163934426229511E-2</v>
      </c>
      <c r="F40" s="978">
        <v>0.45901639344262296</v>
      </c>
      <c r="G40" s="978">
        <v>6.5573770491803282E-2</v>
      </c>
      <c r="H40" s="978">
        <v>8.1967213114754092E-2</v>
      </c>
      <c r="I40" s="978">
        <v>9.0163934426229511E-2</v>
      </c>
      <c r="J40" s="978">
        <v>6.5573770491803282E-2</v>
      </c>
      <c r="K40" s="978">
        <v>0.14754098360655737</v>
      </c>
      <c r="L40" s="979">
        <v>6733</v>
      </c>
      <c r="M40" s="979">
        <v>7996</v>
      </c>
      <c r="N40" s="979">
        <v>16035</v>
      </c>
      <c r="O40" s="979">
        <v>16392</v>
      </c>
      <c r="P40" s="979">
        <v>16392</v>
      </c>
      <c r="Q40" s="979">
        <v>17381</v>
      </c>
      <c r="R40" s="979">
        <v>26008</v>
      </c>
      <c r="S40" s="979">
        <v>1820333.0273224043</v>
      </c>
      <c r="T40" s="979">
        <v>714870</v>
      </c>
      <c r="U40" s="979">
        <v>12255</v>
      </c>
      <c r="V40" s="979">
        <v>0</v>
      </c>
      <c r="W40" s="979">
        <v>2547458.0273224041</v>
      </c>
      <c r="X40" s="998"/>
      <c r="Y40" s="979">
        <v>1386666.6666666667</v>
      </c>
      <c r="Z40" s="979">
        <v>1160791.3606557373</v>
      </c>
      <c r="AA40" s="979">
        <v>18371.09154319041</v>
      </c>
      <c r="AB40" s="7">
        <v>78768.115720583548</v>
      </c>
      <c r="AC40" s="7">
        <v>2468689.9116018205</v>
      </c>
      <c r="AD40" s="983"/>
      <c r="AE40" s="980"/>
      <c r="AG40" s="981"/>
      <c r="AH40" s="982"/>
    </row>
    <row r="41" spans="1:34" ht="25" x14ac:dyDescent="0.25">
      <c r="A41" s="78">
        <v>9257021</v>
      </c>
      <c r="B41" s="15" t="s">
        <v>263</v>
      </c>
      <c r="C41" s="977">
        <v>178.58333333333334</v>
      </c>
      <c r="D41" s="977" t="s">
        <v>249</v>
      </c>
      <c r="E41" s="978">
        <v>0.21176470588235294</v>
      </c>
      <c r="F41" s="978">
        <v>0.52352941176470591</v>
      </c>
      <c r="G41" s="978">
        <v>0.10588235294117647</v>
      </c>
      <c r="H41" s="978">
        <v>7.0588235294117646E-2</v>
      </c>
      <c r="I41" s="978">
        <v>2.9411764705882353E-2</v>
      </c>
      <c r="J41" s="978">
        <v>4.7058823529411764E-2</v>
      </c>
      <c r="K41" s="978">
        <v>1.1764705882352941E-2</v>
      </c>
      <c r="L41" s="979">
        <v>6733</v>
      </c>
      <c r="M41" s="979">
        <v>7996</v>
      </c>
      <c r="N41" s="979">
        <v>16035</v>
      </c>
      <c r="O41" s="979">
        <v>16392</v>
      </c>
      <c r="P41" s="979">
        <v>16392</v>
      </c>
      <c r="Q41" s="979">
        <v>17381</v>
      </c>
      <c r="R41" s="979">
        <v>26008</v>
      </c>
      <c r="S41" s="979">
        <v>1798848.9068627453</v>
      </c>
      <c r="T41" s="979">
        <v>714870</v>
      </c>
      <c r="U41" s="979">
        <v>31863</v>
      </c>
      <c r="V41" s="979">
        <v>0</v>
      </c>
      <c r="W41" s="979">
        <v>2545581.9068627451</v>
      </c>
      <c r="X41" s="998"/>
      <c r="Y41" s="979">
        <v>1785833.3333333335</v>
      </c>
      <c r="Z41" s="979">
        <v>759748.57352941157</v>
      </c>
      <c r="AA41" s="979">
        <v>14254.308391205292</v>
      </c>
      <c r="AB41" s="7">
        <v>118206.64476197984</v>
      </c>
      <c r="AC41" s="7">
        <v>2427375.262100765</v>
      </c>
      <c r="AD41" s="174"/>
      <c r="AE41" s="980"/>
      <c r="AG41" s="981"/>
      <c r="AH41" s="982"/>
    </row>
    <row r="42" spans="1:34" ht="25" x14ac:dyDescent="0.25">
      <c r="A42" s="78">
        <v>9257015</v>
      </c>
      <c r="B42" s="15" t="s">
        <v>72</v>
      </c>
      <c r="C42" s="977">
        <v>234.33333333333337</v>
      </c>
      <c r="D42" s="977" t="s">
        <v>251</v>
      </c>
      <c r="E42" s="978">
        <v>0.26991150442477874</v>
      </c>
      <c r="F42" s="978">
        <v>0.42035398230088494</v>
      </c>
      <c r="G42" s="978">
        <v>2.2123893805309734E-2</v>
      </c>
      <c r="H42" s="978">
        <v>8.8495575221238937E-2</v>
      </c>
      <c r="I42" s="978">
        <v>2.2123893805309734E-2</v>
      </c>
      <c r="J42" s="978">
        <v>0.15929203539823009</v>
      </c>
      <c r="K42" s="978">
        <v>1.7699115044247787E-2</v>
      </c>
      <c r="L42" s="979">
        <v>6733</v>
      </c>
      <c r="M42" s="979">
        <v>7996</v>
      </c>
      <c r="N42" s="979">
        <v>16035</v>
      </c>
      <c r="O42" s="979">
        <v>16392</v>
      </c>
      <c r="P42" s="979">
        <v>16392</v>
      </c>
      <c r="Q42" s="979">
        <v>17381</v>
      </c>
      <c r="R42" s="979">
        <v>26008</v>
      </c>
      <c r="S42" s="979">
        <v>2478184.9085545726</v>
      </c>
      <c r="T42" s="979">
        <v>833832</v>
      </c>
      <c r="U42" s="979">
        <v>60784.799999999996</v>
      </c>
      <c r="V42" s="979">
        <v>0</v>
      </c>
      <c r="W42" s="979">
        <v>3372801.7085545724</v>
      </c>
      <c r="X42" s="998"/>
      <c r="Y42" s="979">
        <v>2343333.3333333335</v>
      </c>
      <c r="Z42" s="979">
        <v>1029468.3752212389</v>
      </c>
      <c r="AA42" s="979">
        <v>14393.179410616949</v>
      </c>
      <c r="AB42" s="7">
        <v>160090.15138303587</v>
      </c>
      <c r="AC42" s="7">
        <v>3212711.5571715366</v>
      </c>
      <c r="AD42" s="174"/>
      <c r="AE42" s="980"/>
      <c r="AG42" s="981"/>
      <c r="AH42" s="982"/>
    </row>
    <row r="43" spans="1:34" ht="25" x14ac:dyDescent="0.25">
      <c r="A43" s="78">
        <v>9257016</v>
      </c>
      <c r="B43" s="15" t="s">
        <v>73</v>
      </c>
      <c r="C43" s="977">
        <v>165.16666666666669</v>
      </c>
      <c r="D43" s="977" t="s">
        <v>251</v>
      </c>
      <c r="E43" s="978">
        <v>0.11874999999999999</v>
      </c>
      <c r="F43" s="978">
        <v>0.21249999999999999</v>
      </c>
      <c r="G43" s="978">
        <v>1.2500000000000001E-2</v>
      </c>
      <c r="H43" s="978">
        <v>0.24374999999999999</v>
      </c>
      <c r="I43" s="978">
        <v>0.18124999999999999</v>
      </c>
      <c r="J43" s="978">
        <v>1.8749999999999999E-2</v>
      </c>
      <c r="K43" s="978">
        <v>0.21249999999999999</v>
      </c>
      <c r="L43" s="979">
        <v>6733</v>
      </c>
      <c r="M43" s="979">
        <v>7996</v>
      </c>
      <c r="N43" s="979">
        <v>16035</v>
      </c>
      <c r="O43" s="979">
        <v>16392</v>
      </c>
      <c r="P43" s="979">
        <v>16392</v>
      </c>
      <c r="Q43" s="979">
        <v>17381</v>
      </c>
      <c r="R43" s="979">
        <v>26008</v>
      </c>
      <c r="S43" s="979">
        <v>2563110.0125000002</v>
      </c>
      <c r="T43" s="979">
        <v>833832</v>
      </c>
      <c r="U43" s="979">
        <v>21078.6</v>
      </c>
      <c r="V43" s="979">
        <v>0</v>
      </c>
      <c r="W43" s="979">
        <v>3418020.6125000003</v>
      </c>
      <c r="X43" s="998"/>
      <c r="Y43" s="979">
        <v>1651666.6666666667</v>
      </c>
      <c r="Z43" s="979">
        <v>1766353.9458333335</v>
      </c>
      <c r="AA43" s="979">
        <v>20694.373032290616</v>
      </c>
      <c r="AB43" s="7">
        <v>102627.76775947589</v>
      </c>
      <c r="AC43" s="7">
        <v>3315392.8447405244</v>
      </c>
      <c r="AD43" s="174"/>
      <c r="AE43" s="980"/>
      <c r="AG43" s="981"/>
      <c r="AH43" s="982"/>
    </row>
    <row r="44" spans="1:34" x14ac:dyDescent="0.25">
      <c r="E44" s="984"/>
      <c r="F44" s="984"/>
      <c r="G44" s="984"/>
      <c r="H44" s="984"/>
      <c r="I44" s="984"/>
      <c r="J44" s="984"/>
      <c r="K44" s="984"/>
      <c r="S44" s="981"/>
      <c r="T44" s="981"/>
      <c r="U44" s="981"/>
      <c r="V44" s="981"/>
      <c r="W44" s="981"/>
      <c r="X44" s="981"/>
      <c r="Y44" s="981"/>
      <c r="Z44" s="981"/>
      <c r="AA44" s="981"/>
      <c r="AB44" s="981"/>
      <c r="AC44" s="981"/>
      <c r="AD44" s="174"/>
    </row>
    <row r="45" spans="1:34" x14ac:dyDescent="0.25">
      <c r="E45" s="984"/>
      <c r="F45" s="984"/>
      <c r="G45" s="984"/>
      <c r="H45" s="984"/>
      <c r="I45" s="984"/>
      <c r="J45" s="984"/>
      <c r="K45" s="984"/>
      <c r="S45" s="981"/>
      <c r="T45" s="981"/>
      <c r="U45" s="981"/>
      <c r="V45" s="981"/>
      <c r="W45" s="981"/>
      <c r="X45" s="981"/>
      <c r="Y45" s="981"/>
      <c r="Z45" s="981"/>
      <c r="AA45" s="981"/>
      <c r="AB45" s="981"/>
      <c r="AC45" s="981"/>
      <c r="AD45" s="174"/>
    </row>
    <row r="46" spans="1:34" x14ac:dyDescent="0.25">
      <c r="E46" s="984"/>
      <c r="F46" s="984"/>
      <c r="G46" s="984"/>
      <c r="H46" s="984"/>
      <c r="I46" s="984"/>
      <c r="J46" s="984"/>
      <c r="K46" s="984"/>
      <c r="S46" s="981"/>
      <c r="T46" s="981"/>
      <c r="U46" s="981"/>
      <c r="V46" s="981"/>
      <c r="W46" s="981"/>
      <c r="X46" s="981"/>
      <c r="Y46" s="981"/>
      <c r="Z46" s="981"/>
      <c r="AA46" s="981"/>
      <c r="AB46" s="981"/>
      <c r="AC46" s="981"/>
      <c r="AD46" s="174"/>
    </row>
    <row r="47" spans="1:34" x14ac:dyDescent="0.25">
      <c r="E47" s="984"/>
      <c r="F47" s="984"/>
      <c r="G47" s="984"/>
      <c r="H47" s="984"/>
      <c r="I47" s="984"/>
      <c r="J47" s="984"/>
      <c r="K47" s="984"/>
      <c r="S47" s="981"/>
      <c r="T47" s="981"/>
      <c r="U47" s="981"/>
      <c r="V47" s="981"/>
      <c r="W47" s="981"/>
      <c r="X47" s="981"/>
      <c r="Y47" s="981"/>
      <c r="Z47" s="981"/>
      <c r="AA47" s="981"/>
      <c r="AB47" s="981"/>
      <c r="AC47" s="981"/>
      <c r="AD47" s="174"/>
    </row>
    <row r="48" spans="1:34" x14ac:dyDescent="0.25">
      <c r="E48" s="984"/>
      <c r="F48" s="984"/>
      <c r="G48" s="984"/>
      <c r="H48" s="984"/>
      <c r="I48" s="984"/>
      <c r="J48" s="984"/>
      <c r="K48" s="984"/>
      <c r="S48" s="981"/>
      <c r="T48" s="981"/>
      <c r="U48" s="981"/>
      <c r="V48" s="981"/>
      <c r="W48" s="981"/>
      <c r="X48" s="981"/>
      <c r="Y48" s="981"/>
      <c r="Z48" s="981"/>
      <c r="AA48" s="981"/>
      <c r="AB48" s="981"/>
      <c r="AC48" s="981"/>
      <c r="AD48" s="174"/>
    </row>
    <row r="49" spans="5:30" x14ac:dyDescent="0.25">
      <c r="E49" s="984"/>
      <c r="F49" s="984"/>
      <c r="G49" s="984"/>
      <c r="H49" s="984"/>
      <c r="I49" s="984"/>
      <c r="J49" s="984"/>
      <c r="K49" s="984"/>
      <c r="S49" s="981"/>
      <c r="T49" s="981"/>
      <c r="U49" s="981"/>
      <c r="V49" s="981"/>
      <c r="W49" s="981"/>
      <c r="X49" s="981"/>
      <c r="Y49" s="981"/>
      <c r="Z49" s="981"/>
      <c r="AA49" s="981"/>
      <c r="AB49" s="981"/>
      <c r="AC49" s="981"/>
      <c r="AD49" s="174"/>
    </row>
    <row r="50" spans="5:30" x14ac:dyDescent="0.25">
      <c r="E50" s="984"/>
      <c r="F50" s="984"/>
      <c r="G50" s="984"/>
      <c r="H50" s="984"/>
      <c r="I50" s="984"/>
      <c r="J50" s="984"/>
      <c r="K50" s="984"/>
      <c r="S50" s="981"/>
      <c r="T50" s="981"/>
      <c r="U50" s="981"/>
      <c r="V50" s="981"/>
      <c r="W50" s="981"/>
      <c r="X50" s="981"/>
      <c r="Y50" s="981"/>
      <c r="Z50" s="981"/>
      <c r="AA50" s="981"/>
      <c r="AB50" s="981"/>
      <c r="AC50" s="981"/>
      <c r="AD50" s="174"/>
    </row>
    <row r="51" spans="5:30" x14ac:dyDescent="0.25">
      <c r="E51" s="984"/>
      <c r="F51" s="984"/>
      <c r="G51" s="984"/>
      <c r="H51" s="984"/>
      <c r="I51" s="984"/>
      <c r="J51" s="984"/>
      <c r="K51" s="984"/>
      <c r="S51" s="981"/>
      <c r="T51" s="981"/>
      <c r="U51" s="981"/>
      <c r="V51" s="981"/>
      <c r="W51" s="981"/>
      <c r="X51" s="981"/>
      <c r="Y51" s="981"/>
      <c r="Z51" s="981"/>
      <c r="AA51" s="981"/>
      <c r="AB51" s="981"/>
      <c r="AC51" s="981"/>
      <c r="AD51" s="174"/>
    </row>
    <row r="52" spans="5:30" x14ac:dyDescent="0.25">
      <c r="E52" s="984"/>
      <c r="F52" s="984"/>
      <c r="G52" s="984"/>
      <c r="H52" s="984"/>
      <c r="I52" s="984"/>
      <c r="J52" s="984"/>
      <c r="K52" s="984"/>
      <c r="S52" s="981"/>
      <c r="T52" s="981"/>
      <c r="U52" s="981"/>
      <c r="V52" s="981"/>
      <c r="W52" s="981"/>
      <c r="X52" s="981"/>
      <c r="Y52" s="981"/>
      <c r="Z52" s="981"/>
      <c r="AA52" s="981"/>
      <c r="AB52" s="981"/>
      <c r="AC52" s="981"/>
      <c r="AD52" s="174"/>
    </row>
    <row r="53" spans="5:30" x14ac:dyDescent="0.25">
      <c r="E53" s="984"/>
      <c r="F53" s="984"/>
      <c r="G53" s="984"/>
      <c r="H53" s="984"/>
      <c r="I53" s="984"/>
      <c r="J53" s="984"/>
      <c r="K53" s="984"/>
      <c r="S53" s="981"/>
      <c r="T53" s="981"/>
      <c r="U53" s="981"/>
      <c r="V53" s="981"/>
      <c r="W53" s="981"/>
      <c r="X53" s="981"/>
      <c r="Y53" s="981"/>
      <c r="Z53" s="981"/>
      <c r="AA53" s="981"/>
      <c r="AB53" s="981"/>
      <c r="AC53" s="981"/>
      <c r="AD53" s="174"/>
    </row>
    <row r="54" spans="5:30" x14ac:dyDescent="0.25">
      <c r="E54" s="984"/>
      <c r="F54" s="984"/>
      <c r="G54" s="984"/>
      <c r="H54" s="984"/>
      <c r="I54" s="984"/>
      <c r="J54" s="984"/>
      <c r="K54" s="984"/>
      <c r="S54" s="981"/>
      <c r="T54" s="981"/>
      <c r="U54" s="981"/>
      <c r="V54" s="981"/>
      <c r="W54" s="981"/>
      <c r="X54" s="981"/>
      <c r="Y54" s="981"/>
      <c r="Z54" s="981"/>
      <c r="AA54" s="981"/>
      <c r="AB54" s="981"/>
      <c r="AC54" s="981"/>
      <c r="AD54" s="174"/>
    </row>
    <row r="55" spans="5:30" x14ac:dyDescent="0.25">
      <c r="E55" s="984"/>
      <c r="F55" s="984"/>
      <c r="G55" s="984"/>
      <c r="H55" s="984"/>
      <c r="I55" s="984"/>
      <c r="J55" s="984"/>
      <c r="K55" s="984"/>
      <c r="S55" s="981"/>
      <c r="T55" s="981"/>
      <c r="U55" s="981"/>
      <c r="V55" s="981"/>
      <c r="W55" s="981"/>
      <c r="X55" s="981"/>
      <c r="Y55" s="981"/>
      <c r="Z55" s="981"/>
      <c r="AA55" s="981"/>
      <c r="AB55" s="981"/>
      <c r="AC55" s="981"/>
      <c r="AD55" s="174"/>
    </row>
    <row r="56" spans="5:30" x14ac:dyDescent="0.25">
      <c r="E56" s="984"/>
      <c r="F56" s="984"/>
      <c r="G56" s="984"/>
      <c r="H56" s="984"/>
      <c r="I56" s="984"/>
      <c r="J56" s="984"/>
      <c r="K56" s="984"/>
      <c r="S56" s="981"/>
      <c r="T56" s="981"/>
      <c r="U56" s="981"/>
      <c r="V56" s="981"/>
      <c r="W56" s="981"/>
      <c r="X56" s="981"/>
      <c r="Y56" s="981"/>
      <c r="Z56" s="981"/>
      <c r="AA56" s="981"/>
      <c r="AB56" s="981"/>
      <c r="AC56" s="981"/>
      <c r="AD56" s="174"/>
    </row>
    <row r="57" spans="5:30" x14ac:dyDescent="0.25">
      <c r="E57" s="984"/>
      <c r="F57" s="984"/>
      <c r="G57" s="984"/>
      <c r="H57" s="984"/>
      <c r="I57" s="984"/>
      <c r="J57" s="984"/>
      <c r="K57" s="984"/>
      <c r="S57" s="981"/>
      <c r="T57" s="981"/>
      <c r="U57" s="981"/>
      <c r="V57" s="981"/>
      <c r="W57" s="981"/>
      <c r="X57" s="981"/>
      <c r="Y57" s="981"/>
      <c r="Z57" s="981"/>
      <c r="AA57" s="981"/>
      <c r="AB57" s="981"/>
      <c r="AC57" s="981"/>
      <c r="AD57" s="174"/>
    </row>
    <row r="58" spans="5:30" x14ac:dyDescent="0.25">
      <c r="E58" s="984"/>
      <c r="F58" s="984"/>
      <c r="G58" s="984"/>
      <c r="H58" s="984"/>
      <c r="I58" s="984"/>
      <c r="J58" s="984"/>
      <c r="K58" s="984"/>
      <c r="S58" s="981"/>
      <c r="T58" s="981"/>
      <c r="U58" s="981"/>
      <c r="V58" s="981"/>
      <c r="W58" s="981"/>
      <c r="X58" s="981"/>
      <c r="Y58" s="981"/>
      <c r="Z58" s="981"/>
      <c r="AA58" s="981"/>
      <c r="AB58" s="981"/>
      <c r="AC58" s="981"/>
      <c r="AD58" s="174"/>
    </row>
    <row r="59" spans="5:30" x14ac:dyDescent="0.25">
      <c r="E59" s="984"/>
      <c r="F59" s="984"/>
      <c r="G59" s="984"/>
      <c r="H59" s="984"/>
      <c r="I59" s="984"/>
      <c r="J59" s="984"/>
      <c r="K59" s="984"/>
      <c r="S59" s="981"/>
      <c r="T59" s="981"/>
      <c r="U59" s="981"/>
      <c r="V59" s="981"/>
      <c r="W59" s="981"/>
      <c r="X59" s="981"/>
      <c r="Y59" s="981"/>
      <c r="Z59" s="981"/>
      <c r="AA59" s="981"/>
      <c r="AB59" s="981"/>
      <c r="AC59" s="981"/>
      <c r="AD59" s="174"/>
    </row>
    <row r="60" spans="5:30" x14ac:dyDescent="0.25">
      <c r="E60" s="984"/>
      <c r="F60" s="984"/>
      <c r="G60" s="984"/>
      <c r="H60" s="984"/>
      <c r="I60" s="984"/>
      <c r="J60" s="984"/>
      <c r="K60" s="984"/>
      <c r="S60" s="981"/>
      <c r="T60" s="981"/>
      <c r="U60" s="981"/>
      <c r="V60" s="981"/>
      <c r="W60" s="981"/>
      <c r="X60" s="981"/>
      <c r="Y60" s="981"/>
      <c r="Z60" s="981"/>
      <c r="AA60" s="981"/>
      <c r="AB60" s="981"/>
      <c r="AC60" s="981"/>
      <c r="AD60" s="174"/>
    </row>
    <row r="61" spans="5:30" x14ac:dyDescent="0.25">
      <c r="E61" s="984"/>
      <c r="F61" s="984"/>
      <c r="G61" s="984"/>
      <c r="H61" s="984"/>
      <c r="I61" s="984"/>
      <c r="J61" s="984"/>
      <c r="K61" s="984"/>
      <c r="S61" s="981"/>
      <c r="T61" s="981"/>
      <c r="U61" s="981"/>
      <c r="V61" s="981"/>
      <c r="W61" s="981"/>
      <c r="X61" s="981"/>
      <c r="Y61" s="981"/>
      <c r="Z61" s="981"/>
      <c r="AA61" s="981"/>
      <c r="AB61" s="981"/>
      <c r="AC61" s="981"/>
      <c r="AD61" s="174"/>
    </row>
    <row r="62" spans="5:30" x14ac:dyDescent="0.25">
      <c r="E62" s="984"/>
      <c r="F62" s="984"/>
      <c r="G62" s="984"/>
      <c r="H62" s="984"/>
      <c r="I62" s="984"/>
      <c r="J62" s="984"/>
      <c r="K62" s="984"/>
      <c r="S62" s="981"/>
      <c r="T62" s="981"/>
      <c r="U62" s="981"/>
      <c r="V62" s="981"/>
      <c r="W62" s="981"/>
      <c r="X62" s="981"/>
      <c r="Y62" s="981"/>
      <c r="Z62" s="981"/>
      <c r="AA62" s="981"/>
      <c r="AB62" s="981"/>
      <c r="AC62" s="981"/>
      <c r="AD62" s="174"/>
    </row>
    <row r="63" spans="5:30" x14ac:dyDescent="0.25">
      <c r="E63" s="984"/>
      <c r="F63" s="984"/>
      <c r="G63" s="984"/>
      <c r="H63" s="984"/>
      <c r="I63" s="984"/>
      <c r="J63" s="984"/>
      <c r="K63" s="984"/>
      <c r="S63" s="981"/>
      <c r="T63" s="981"/>
      <c r="U63" s="981"/>
      <c r="V63" s="981"/>
      <c r="W63" s="981"/>
      <c r="X63" s="981"/>
      <c r="Y63" s="981"/>
      <c r="Z63" s="981"/>
      <c r="AA63" s="981"/>
      <c r="AB63" s="981"/>
      <c r="AC63" s="981"/>
      <c r="AD63" s="174"/>
    </row>
    <row r="64" spans="5:30" x14ac:dyDescent="0.25">
      <c r="E64" s="984"/>
      <c r="F64" s="984"/>
      <c r="G64" s="984"/>
      <c r="H64" s="984"/>
      <c r="I64" s="984"/>
      <c r="J64" s="984"/>
      <c r="K64" s="984"/>
      <c r="S64" s="981"/>
      <c r="T64" s="981"/>
      <c r="U64" s="981"/>
      <c r="V64" s="981"/>
      <c r="W64" s="981"/>
      <c r="X64" s="981"/>
      <c r="Y64" s="981"/>
      <c r="Z64" s="981"/>
      <c r="AA64" s="981"/>
      <c r="AB64" s="981"/>
      <c r="AC64" s="981"/>
      <c r="AD64" s="174"/>
    </row>
    <row r="65" spans="5:30" x14ac:dyDescent="0.25">
      <c r="E65" s="984"/>
      <c r="F65" s="984"/>
      <c r="G65" s="984"/>
      <c r="H65" s="984"/>
      <c r="I65" s="984"/>
      <c r="J65" s="984"/>
      <c r="K65" s="984"/>
      <c r="S65" s="981"/>
      <c r="T65" s="981"/>
      <c r="U65" s="981"/>
      <c r="V65" s="981"/>
      <c r="W65" s="981"/>
      <c r="X65" s="981"/>
      <c r="Y65" s="981"/>
      <c r="Z65" s="981"/>
      <c r="AA65" s="981"/>
      <c r="AB65" s="981"/>
      <c r="AC65" s="981"/>
      <c r="AD65" s="174"/>
    </row>
    <row r="66" spans="5:30" x14ac:dyDescent="0.25">
      <c r="E66" s="984"/>
      <c r="F66" s="984"/>
      <c r="G66" s="984"/>
      <c r="H66" s="984"/>
      <c r="I66" s="984"/>
      <c r="J66" s="984"/>
      <c r="K66" s="984"/>
      <c r="S66" s="981"/>
      <c r="T66" s="981"/>
      <c r="U66" s="981"/>
      <c r="V66" s="981"/>
      <c r="W66" s="981"/>
      <c r="X66" s="981"/>
      <c r="Y66" s="981"/>
      <c r="Z66" s="981"/>
      <c r="AA66" s="981"/>
      <c r="AB66" s="981"/>
      <c r="AC66" s="981"/>
      <c r="AD66" s="174"/>
    </row>
    <row r="67" spans="5:30" x14ac:dyDescent="0.25">
      <c r="E67" s="984"/>
      <c r="F67" s="984"/>
      <c r="G67" s="984"/>
      <c r="H67" s="984"/>
      <c r="I67" s="984"/>
      <c r="J67" s="984"/>
      <c r="K67" s="984"/>
      <c r="S67" s="981"/>
      <c r="T67" s="981"/>
      <c r="U67" s="981"/>
      <c r="V67" s="981"/>
      <c r="W67" s="981"/>
      <c r="X67" s="981"/>
      <c r="Y67" s="981"/>
      <c r="Z67" s="981"/>
      <c r="AA67" s="981"/>
      <c r="AB67" s="981"/>
      <c r="AC67" s="981"/>
      <c r="AD67" s="174"/>
    </row>
    <row r="68" spans="5:30" x14ac:dyDescent="0.25">
      <c r="E68" s="984"/>
      <c r="F68" s="984"/>
      <c r="G68" s="984"/>
      <c r="H68" s="984"/>
      <c r="I68" s="984"/>
      <c r="J68" s="984"/>
      <c r="K68" s="984"/>
      <c r="S68" s="981"/>
      <c r="T68" s="981"/>
      <c r="U68" s="981"/>
      <c r="V68" s="981"/>
      <c r="W68" s="981"/>
      <c r="X68" s="981"/>
      <c r="Y68" s="981"/>
      <c r="Z68" s="981"/>
      <c r="AA68" s="981"/>
      <c r="AB68" s="981"/>
      <c r="AC68" s="981"/>
      <c r="AD68" s="174"/>
    </row>
    <row r="69" spans="5:30" x14ac:dyDescent="0.25">
      <c r="E69" s="984"/>
      <c r="F69" s="984"/>
      <c r="G69" s="984"/>
      <c r="H69" s="984"/>
      <c r="I69" s="984"/>
      <c r="J69" s="984"/>
      <c r="K69" s="984"/>
      <c r="S69" s="981"/>
      <c r="T69" s="981"/>
      <c r="U69" s="981"/>
      <c r="V69" s="981"/>
      <c r="W69" s="981"/>
      <c r="X69" s="981"/>
      <c r="Y69" s="981"/>
      <c r="Z69" s="981"/>
      <c r="AA69" s="981"/>
      <c r="AB69" s="981"/>
      <c r="AC69" s="981"/>
      <c r="AD69" s="174"/>
    </row>
    <row r="70" spans="5:30" x14ac:dyDescent="0.25">
      <c r="E70" s="984"/>
      <c r="F70" s="984"/>
      <c r="G70" s="984"/>
      <c r="H70" s="984"/>
      <c r="I70" s="984"/>
      <c r="J70" s="984"/>
      <c r="K70" s="984"/>
      <c r="S70" s="981"/>
      <c r="T70" s="981"/>
      <c r="U70" s="981"/>
      <c r="V70" s="981"/>
      <c r="W70" s="981"/>
      <c r="X70" s="981"/>
      <c r="Y70" s="981"/>
      <c r="Z70" s="981"/>
      <c r="AA70" s="981"/>
      <c r="AB70" s="981"/>
      <c r="AC70" s="981"/>
      <c r="AD70" s="174"/>
    </row>
    <row r="71" spans="5:30" x14ac:dyDescent="0.25">
      <c r="E71" s="984"/>
      <c r="F71" s="984"/>
      <c r="G71" s="984"/>
      <c r="H71" s="984"/>
      <c r="I71" s="984"/>
      <c r="J71" s="984"/>
      <c r="K71" s="984"/>
      <c r="S71" s="981"/>
      <c r="T71" s="981"/>
      <c r="U71" s="981"/>
      <c r="V71" s="981"/>
      <c r="W71" s="981"/>
      <c r="X71" s="981"/>
      <c r="Y71" s="981"/>
      <c r="Z71" s="981"/>
      <c r="AA71" s="981"/>
      <c r="AB71" s="981"/>
      <c r="AC71" s="981"/>
      <c r="AD71" s="174"/>
    </row>
    <row r="72" spans="5:30" x14ac:dyDescent="0.25">
      <c r="E72" s="984"/>
      <c r="F72" s="984"/>
      <c r="G72" s="984"/>
      <c r="H72" s="984"/>
      <c r="I72" s="984"/>
      <c r="J72" s="984"/>
      <c r="K72" s="984"/>
      <c r="S72" s="981"/>
      <c r="T72" s="981"/>
      <c r="U72" s="981"/>
      <c r="V72" s="981"/>
      <c r="W72" s="981"/>
      <c r="X72" s="981"/>
      <c r="Y72" s="981"/>
      <c r="Z72" s="981"/>
      <c r="AA72" s="981"/>
      <c r="AB72" s="981"/>
      <c r="AC72" s="981"/>
      <c r="AD72" s="174"/>
    </row>
    <row r="73" spans="5:30" x14ac:dyDescent="0.25">
      <c r="E73" s="984"/>
      <c r="F73" s="984"/>
      <c r="G73" s="984"/>
      <c r="H73" s="984"/>
      <c r="I73" s="984"/>
      <c r="J73" s="984"/>
      <c r="K73" s="984"/>
      <c r="S73" s="981"/>
      <c r="T73" s="981"/>
      <c r="U73" s="981"/>
      <c r="V73" s="981"/>
      <c r="W73" s="981"/>
      <c r="X73" s="981"/>
      <c r="Y73" s="981"/>
      <c r="Z73" s="981"/>
      <c r="AA73" s="981"/>
      <c r="AB73" s="981"/>
      <c r="AC73" s="981"/>
      <c r="AD73" s="174"/>
    </row>
    <row r="74" spans="5:30" x14ac:dyDescent="0.25">
      <c r="E74" s="984"/>
      <c r="F74" s="984"/>
      <c r="G74" s="984"/>
      <c r="H74" s="984"/>
      <c r="I74" s="984"/>
      <c r="J74" s="984"/>
      <c r="K74" s="984"/>
      <c r="S74" s="981"/>
      <c r="T74" s="981"/>
      <c r="U74" s="981"/>
      <c r="V74" s="981"/>
      <c r="W74" s="981"/>
      <c r="X74" s="981"/>
      <c r="Y74" s="981"/>
      <c r="Z74" s="981"/>
      <c r="AA74" s="981"/>
      <c r="AB74" s="981"/>
      <c r="AC74" s="981"/>
      <c r="AD74" s="174"/>
    </row>
    <row r="75" spans="5:30" x14ac:dyDescent="0.25">
      <c r="E75" s="984"/>
      <c r="F75" s="984"/>
      <c r="G75" s="984"/>
      <c r="H75" s="984"/>
      <c r="I75" s="984"/>
      <c r="J75" s="984"/>
      <c r="K75" s="984"/>
      <c r="S75" s="981"/>
      <c r="T75" s="981"/>
      <c r="U75" s="981"/>
      <c r="V75" s="981"/>
      <c r="W75" s="981"/>
      <c r="X75" s="981"/>
      <c r="Y75" s="981"/>
      <c r="Z75" s="981"/>
      <c r="AA75" s="981"/>
      <c r="AB75" s="981"/>
      <c r="AC75" s="981"/>
      <c r="AD75" s="174"/>
    </row>
    <row r="76" spans="5:30" x14ac:dyDescent="0.25">
      <c r="E76" s="984"/>
      <c r="F76" s="984"/>
      <c r="G76" s="984"/>
      <c r="H76" s="984"/>
      <c r="I76" s="984"/>
      <c r="J76" s="984"/>
      <c r="K76" s="984"/>
      <c r="S76" s="981"/>
      <c r="T76" s="981"/>
      <c r="U76" s="981"/>
      <c r="V76" s="981"/>
      <c r="W76" s="981"/>
      <c r="X76" s="981"/>
      <c r="Y76" s="981"/>
      <c r="Z76" s="981"/>
      <c r="AA76" s="981"/>
      <c r="AB76" s="981"/>
      <c r="AC76" s="981"/>
      <c r="AD76" s="174"/>
    </row>
    <row r="77" spans="5:30" x14ac:dyDescent="0.25">
      <c r="E77" s="984"/>
      <c r="F77" s="984"/>
      <c r="G77" s="984"/>
      <c r="H77" s="984"/>
      <c r="I77" s="984"/>
      <c r="J77" s="984"/>
      <c r="K77" s="984"/>
      <c r="S77" s="981"/>
      <c r="T77" s="981"/>
      <c r="U77" s="981"/>
      <c r="V77" s="981"/>
      <c r="W77" s="981"/>
      <c r="X77" s="981"/>
      <c r="Y77" s="981"/>
      <c r="Z77" s="981"/>
      <c r="AA77" s="981"/>
      <c r="AB77" s="981"/>
      <c r="AC77" s="981"/>
      <c r="AD77" s="174"/>
    </row>
    <row r="78" spans="5:30" x14ac:dyDescent="0.25">
      <c r="E78" s="984"/>
      <c r="F78" s="984"/>
      <c r="G78" s="984"/>
      <c r="H78" s="984"/>
      <c r="I78" s="984"/>
      <c r="J78" s="984"/>
      <c r="K78" s="984"/>
      <c r="S78" s="981"/>
      <c r="T78" s="981"/>
      <c r="U78" s="981"/>
      <c r="V78" s="981"/>
      <c r="W78" s="981"/>
      <c r="X78" s="981"/>
      <c r="Y78" s="981"/>
      <c r="Z78" s="981"/>
      <c r="AA78" s="981"/>
      <c r="AB78" s="981"/>
      <c r="AC78" s="981"/>
      <c r="AD78" s="174"/>
    </row>
    <row r="79" spans="5:30" x14ac:dyDescent="0.25">
      <c r="E79" s="984"/>
      <c r="F79" s="984"/>
      <c r="G79" s="984"/>
      <c r="H79" s="984"/>
      <c r="I79" s="984"/>
      <c r="J79" s="984"/>
      <c r="K79" s="984"/>
      <c r="S79" s="981"/>
      <c r="T79" s="981"/>
      <c r="U79" s="981"/>
      <c r="V79" s="981"/>
      <c r="W79" s="981"/>
      <c r="X79" s="981"/>
      <c r="Y79" s="981"/>
      <c r="Z79" s="981"/>
      <c r="AA79" s="981"/>
      <c r="AB79" s="981"/>
      <c r="AC79" s="981"/>
      <c r="AD79" s="174"/>
    </row>
    <row r="80" spans="5:30" x14ac:dyDescent="0.25">
      <c r="E80" s="984"/>
      <c r="F80" s="984"/>
      <c r="G80" s="984"/>
      <c r="H80" s="984"/>
      <c r="I80" s="984"/>
      <c r="J80" s="984"/>
      <c r="K80" s="984"/>
      <c r="S80" s="981"/>
      <c r="T80" s="981"/>
      <c r="U80" s="981"/>
      <c r="V80" s="981"/>
      <c r="W80" s="981"/>
      <c r="X80" s="981"/>
      <c r="Y80" s="981"/>
      <c r="Z80" s="981"/>
      <c r="AA80" s="981"/>
      <c r="AB80" s="981"/>
      <c r="AC80" s="981"/>
      <c r="AD80" s="174"/>
    </row>
    <row r="81" spans="5:30" x14ac:dyDescent="0.25">
      <c r="E81" s="984"/>
      <c r="F81" s="984"/>
      <c r="G81" s="984"/>
      <c r="H81" s="984"/>
      <c r="I81" s="984"/>
      <c r="J81" s="984"/>
      <c r="K81" s="984"/>
      <c r="S81" s="981"/>
      <c r="T81" s="981"/>
      <c r="U81" s="981"/>
      <c r="V81" s="981"/>
      <c r="W81" s="981"/>
      <c r="X81" s="981"/>
      <c r="Y81" s="981"/>
      <c r="Z81" s="981"/>
      <c r="AA81" s="981"/>
      <c r="AB81" s="981"/>
      <c r="AC81" s="981"/>
      <c r="AD81" s="174"/>
    </row>
    <row r="82" spans="5:30" x14ac:dyDescent="0.25">
      <c r="E82" s="984"/>
      <c r="F82" s="984"/>
      <c r="G82" s="984"/>
      <c r="H82" s="984"/>
      <c r="I82" s="984"/>
      <c r="J82" s="984"/>
      <c r="K82" s="984"/>
      <c r="S82" s="981"/>
      <c r="T82" s="981"/>
      <c r="U82" s="981"/>
      <c r="V82" s="981"/>
      <c r="W82" s="981"/>
      <c r="X82" s="981"/>
      <c r="Y82" s="981"/>
      <c r="Z82" s="981"/>
      <c r="AA82" s="981"/>
      <c r="AB82" s="981"/>
      <c r="AC82" s="981"/>
      <c r="AD82" s="174"/>
    </row>
    <row r="83" spans="5:30" x14ac:dyDescent="0.25">
      <c r="E83" s="984"/>
      <c r="F83" s="984"/>
      <c r="G83" s="984"/>
      <c r="H83" s="984"/>
      <c r="I83" s="984"/>
      <c r="J83" s="984"/>
      <c r="K83" s="984"/>
      <c r="S83" s="981"/>
      <c r="T83" s="981"/>
      <c r="U83" s="981"/>
      <c r="V83" s="981"/>
      <c r="W83" s="981"/>
      <c r="X83" s="981"/>
      <c r="Y83" s="981"/>
      <c r="Z83" s="981"/>
      <c r="AA83" s="981"/>
      <c r="AB83" s="981"/>
      <c r="AC83" s="981"/>
      <c r="AD83" s="174"/>
    </row>
    <row r="84" spans="5:30" x14ac:dyDescent="0.25">
      <c r="E84" s="984"/>
      <c r="F84" s="984"/>
      <c r="G84" s="984"/>
      <c r="H84" s="984"/>
      <c r="I84" s="984"/>
      <c r="J84" s="984"/>
      <c r="K84" s="984"/>
      <c r="S84" s="981"/>
      <c r="T84" s="981"/>
      <c r="U84" s="981"/>
      <c r="V84" s="981"/>
      <c r="W84" s="981"/>
      <c r="X84" s="981"/>
      <c r="Y84" s="981"/>
      <c r="Z84" s="981"/>
      <c r="AA84" s="981"/>
      <c r="AB84" s="981"/>
      <c r="AC84" s="981"/>
      <c r="AD84" s="174"/>
    </row>
    <row r="85" spans="5:30" x14ac:dyDescent="0.25">
      <c r="E85" s="984"/>
      <c r="F85" s="984"/>
      <c r="G85" s="984"/>
      <c r="H85" s="984"/>
      <c r="I85" s="984"/>
      <c r="J85" s="984"/>
      <c r="K85" s="984"/>
      <c r="S85" s="981"/>
      <c r="T85" s="981"/>
      <c r="U85" s="981"/>
      <c r="V85" s="981"/>
      <c r="W85" s="981"/>
      <c r="X85" s="981"/>
      <c r="Y85" s="981"/>
      <c r="Z85" s="981"/>
      <c r="AA85" s="981"/>
      <c r="AB85" s="981"/>
      <c r="AC85" s="981"/>
      <c r="AD85" s="174"/>
    </row>
    <row r="86" spans="5:30" x14ac:dyDescent="0.25">
      <c r="E86" s="984"/>
      <c r="F86" s="984"/>
      <c r="G86" s="984"/>
      <c r="H86" s="984"/>
      <c r="I86" s="984"/>
      <c r="J86" s="984"/>
      <c r="K86" s="984"/>
      <c r="S86" s="981"/>
      <c r="T86" s="981"/>
      <c r="U86" s="981"/>
      <c r="V86" s="981"/>
      <c r="W86" s="981"/>
      <c r="X86" s="981"/>
      <c r="Y86" s="981"/>
      <c r="Z86" s="981"/>
      <c r="AA86" s="981"/>
      <c r="AB86" s="981"/>
      <c r="AC86" s="981"/>
      <c r="AD86" s="174"/>
    </row>
    <row r="87" spans="5:30" x14ac:dyDescent="0.25">
      <c r="E87" s="984"/>
      <c r="F87" s="984"/>
      <c r="G87" s="984"/>
      <c r="H87" s="984"/>
      <c r="I87" s="984"/>
      <c r="J87" s="984"/>
      <c r="K87" s="984"/>
      <c r="S87" s="981"/>
      <c r="T87" s="981"/>
      <c r="U87" s="981"/>
      <c r="V87" s="981"/>
      <c r="W87" s="981"/>
      <c r="X87" s="981"/>
      <c r="Y87" s="981"/>
      <c r="Z87" s="981"/>
      <c r="AA87" s="981"/>
      <c r="AB87" s="981"/>
      <c r="AC87" s="981"/>
      <c r="AD87" s="174"/>
    </row>
    <row r="88" spans="5:30" x14ac:dyDescent="0.25">
      <c r="E88" s="984"/>
      <c r="F88" s="984"/>
      <c r="G88" s="984"/>
      <c r="H88" s="984"/>
      <c r="I88" s="984"/>
      <c r="J88" s="984"/>
      <c r="K88" s="984"/>
      <c r="S88" s="981"/>
      <c r="T88" s="981"/>
      <c r="U88" s="981"/>
      <c r="V88" s="981"/>
      <c r="W88" s="981"/>
      <c r="X88" s="981"/>
      <c r="Y88" s="981"/>
      <c r="Z88" s="981"/>
      <c r="AA88" s="981"/>
      <c r="AB88" s="981"/>
      <c r="AC88" s="981"/>
      <c r="AD88" s="174"/>
    </row>
    <row r="89" spans="5:30" x14ac:dyDescent="0.25">
      <c r="E89" s="984"/>
      <c r="F89" s="984"/>
      <c r="G89" s="984"/>
      <c r="H89" s="984"/>
      <c r="I89" s="984"/>
      <c r="J89" s="984"/>
      <c r="K89" s="984"/>
      <c r="S89" s="981"/>
      <c r="T89" s="981"/>
      <c r="U89" s="981"/>
      <c r="V89" s="981"/>
      <c r="W89" s="981"/>
      <c r="X89" s="981"/>
      <c r="Y89" s="981"/>
      <c r="Z89" s="981"/>
      <c r="AA89" s="981"/>
      <c r="AB89" s="981"/>
      <c r="AC89" s="981"/>
      <c r="AD89" s="174"/>
    </row>
    <row r="90" spans="5:30" x14ac:dyDescent="0.25">
      <c r="E90" s="984"/>
      <c r="F90" s="984"/>
      <c r="G90" s="984"/>
      <c r="H90" s="984"/>
      <c r="I90" s="984"/>
      <c r="J90" s="984"/>
      <c r="K90" s="984"/>
      <c r="S90" s="981"/>
      <c r="T90" s="981"/>
      <c r="U90" s="981"/>
      <c r="V90" s="981"/>
      <c r="W90" s="981"/>
      <c r="X90" s="981"/>
      <c r="Y90" s="981"/>
      <c r="Z90" s="981"/>
      <c r="AA90" s="981"/>
      <c r="AB90" s="981"/>
      <c r="AC90" s="981"/>
      <c r="AD90" s="174"/>
    </row>
    <row r="91" spans="5:30" x14ac:dyDescent="0.25">
      <c r="E91" s="984"/>
      <c r="F91" s="984"/>
      <c r="G91" s="984"/>
      <c r="H91" s="984"/>
      <c r="I91" s="984"/>
      <c r="J91" s="984"/>
      <c r="K91" s="984"/>
      <c r="S91" s="981"/>
      <c r="T91" s="981"/>
      <c r="U91" s="981"/>
      <c r="V91" s="981"/>
      <c r="W91" s="981"/>
      <c r="X91" s="981"/>
      <c r="Y91" s="981"/>
      <c r="Z91" s="981"/>
      <c r="AA91" s="981"/>
      <c r="AB91" s="981"/>
      <c r="AC91" s="981"/>
      <c r="AD91" s="174"/>
    </row>
    <row r="92" spans="5:30" x14ac:dyDescent="0.25">
      <c r="E92" s="984"/>
      <c r="F92" s="984"/>
      <c r="G92" s="984"/>
      <c r="H92" s="984"/>
      <c r="I92" s="984"/>
      <c r="J92" s="984"/>
      <c r="K92" s="984"/>
      <c r="S92" s="981"/>
      <c r="T92" s="981"/>
      <c r="U92" s="981"/>
      <c r="V92" s="981"/>
      <c r="W92" s="981"/>
      <c r="X92" s="981"/>
      <c r="Y92" s="981"/>
      <c r="Z92" s="981"/>
      <c r="AA92" s="981"/>
      <c r="AB92" s="981"/>
      <c r="AC92" s="981"/>
      <c r="AD92" s="174"/>
    </row>
    <row r="93" spans="5:30" x14ac:dyDescent="0.25">
      <c r="E93" s="984"/>
      <c r="F93" s="984"/>
      <c r="G93" s="984"/>
      <c r="H93" s="984"/>
      <c r="I93" s="984"/>
      <c r="J93" s="984"/>
      <c r="K93" s="984"/>
      <c r="S93" s="981"/>
      <c r="T93" s="981"/>
      <c r="U93" s="981"/>
      <c r="V93" s="981"/>
      <c r="W93" s="981"/>
      <c r="X93" s="981"/>
      <c r="Y93" s="981"/>
      <c r="Z93" s="981"/>
      <c r="AA93" s="981"/>
      <c r="AB93" s="981"/>
      <c r="AC93" s="981"/>
      <c r="AD93" s="174"/>
    </row>
    <row r="94" spans="5:30" x14ac:dyDescent="0.25">
      <c r="E94" s="984"/>
      <c r="F94" s="984"/>
      <c r="G94" s="984"/>
      <c r="H94" s="984"/>
      <c r="I94" s="984"/>
      <c r="J94" s="984"/>
      <c r="K94" s="984"/>
      <c r="S94" s="981"/>
      <c r="T94" s="981"/>
      <c r="U94" s="981"/>
      <c r="V94" s="981"/>
      <c r="W94" s="981"/>
      <c r="X94" s="981"/>
      <c r="Y94" s="981"/>
      <c r="Z94" s="981"/>
      <c r="AA94" s="981"/>
      <c r="AB94" s="981"/>
      <c r="AC94" s="981"/>
      <c r="AD94" s="174"/>
    </row>
    <row r="95" spans="5:30" x14ac:dyDescent="0.25">
      <c r="E95" s="984"/>
      <c r="F95" s="984"/>
      <c r="G95" s="984"/>
      <c r="H95" s="984"/>
      <c r="I95" s="984"/>
      <c r="J95" s="984"/>
      <c r="K95" s="984"/>
      <c r="S95" s="981"/>
      <c r="T95" s="981"/>
      <c r="U95" s="981"/>
      <c r="V95" s="981"/>
      <c r="W95" s="981"/>
      <c r="X95" s="981"/>
      <c r="Y95" s="981"/>
      <c r="Z95" s="981"/>
      <c r="AA95" s="981"/>
      <c r="AB95" s="981"/>
      <c r="AC95" s="981"/>
      <c r="AD95" s="174"/>
    </row>
    <row r="96" spans="5:30" x14ac:dyDescent="0.25">
      <c r="E96" s="984"/>
      <c r="F96" s="984"/>
      <c r="G96" s="984"/>
      <c r="H96" s="984"/>
      <c r="I96" s="984"/>
      <c r="J96" s="984"/>
      <c r="K96" s="984"/>
      <c r="S96" s="981"/>
      <c r="T96" s="981"/>
      <c r="U96" s="981"/>
      <c r="V96" s="981"/>
      <c r="W96" s="981"/>
      <c r="X96" s="981"/>
      <c r="Y96" s="981"/>
      <c r="Z96" s="981"/>
      <c r="AA96" s="981"/>
      <c r="AB96" s="981"/>
      <c r="AC96" s="981"/>
      <c r="AD96" s="174"/>
    </row>
    <row r="97" spans="1:45" x14ac:dyDescent="0.25">
      <c r="E97" s="984"/>
      <c r="F97" s="984"/>
      <c r="G97" s="984"/>
      <c r="H97" s="984"/>
      <c r="I97" s="984"/>
      <c r="J97" s="984"/>
      <c r="K97" s="984"/>
      <c r="S97" s="981"/>
      <c r="T97" s="981"/>
      <c r="U97" s="981"/>
      <c r="V97" s="981"/>
      <c r="W97" s="981"/>
      <c r="X97" s="981"/>
      <c r="Y97" s="981"/>
      <c r="Z97" s="981"/>
      <c r="AA97" s="981"/>
      <c r="AB97" s="981"/>
      <c r="AC97" s="981"/>
      <c r="AD97" s="174"/>
    </row>
    <row r="98" spans="1:45" x14ac:dyDescent="0.25">
      <c r="E98" s="984"/>
      <c r="F98" s="984"/>
      <c r="G98" s="984"/>
      <c r="H98" s="984"/>
      <c r="I98" s="984"/>
      <c r="J98" s="984"/>
      <c r="K98" s="984"/>
      <c r="S98" s="981"/>
      <c r="T98" s="981"/>
      <c r="U98" s="981"/>
      <c r="V98" s="981"/>
      <c r="W98" s="981"/>
      <c r="X98" s="981"/>
      <c r="Y98" s="981"/>
      <c r="Z98" s="981"/>
      <c r="AA98" s="981"/>
      <c r="AB98" s="981"/>
      <c r="AC98" s="981"/>
      <c r="AD98" s="174"/>
    </row>
    <row r="99" spans="1:45" x14ac:dyDescent="0.25">
      <c r="E99" s="984"/>
      <c r="F99" s="984"/>
      <c r="G99" s="984"/>
      <c r="H99" s="984"/>
      <c r="I99" s="984"/>
      <c r="J99" s="984"/>
      <c r="K99" s="984"/>
      <c r="S99" s="981"/>
      <c r="T99" s="981"/>
      <c r="U99" s="981"/>
      <c r="V99" s="981"/>
      <c r="W99" s="981"/>
      <c r="X99" s="981"/>
      <c r="Y99" s="981"/>
      <c r="Z99" s="981"/>
      <c r="AA99" s="981"/>
      <c r="AB99" s="981"/>
      <c r="AC99" s="981"/>
      <c r="AD99" s="174"/>
    </row>
    <row r="100" spans="1:45" x14ac:dyDescent="0.25">
      <c r="E100" s="984"/>
      <c r="F100" s="984"/>
      <c r="G100" s="984"/>
      <c r="H100" s="984"/>
      <c r="I100" s="984"/>
      <c r="J100" s="984"/>
      <c r="K100" s="984"/>
      <c r="S100" s="981"/>
      <c r="T100" s="981"/>
      <c r="U100" s="981"/>
      <c r="V100" s="981"/>
      <c r="W100" s="981"/>
      <c r="X100" s="981"/>
      <c r="Y100" s="981"/>
      <c r="Z100" s="981"/>
      <c r="AA100" s="981"/>
      <c r="AB100" s="981"/>
      <c r="AC100" s="981"/>
      <c r="AD100" s="174"/>
    </row>
    <row r="102" spans="1:45" x14ac:dyDescent="0.25">
      <c r="B102" s="101"/>
      <c r="C102" s="977"/>
      <c r="E102" s="984"/>
      <c r="F102" s="984"/>
      <c r="G102" s="984"/>
      <c r="H102" s="984"/>
      <c r="I102" s="984"/>
      <c r="J102" s="984"/>
      <c r="K102" s="984"/>
      <c r="S102" s="977"/>
      <c r="T102" s="977"/>
      <c r="U102" s="977"/>
      <c r="V102" s="977"/>
      <c r="W102" s="977"/>
      <c r="X102" s="977"/>
      <c r="Y102" s="977"/>
      <c r="Z102" s="977"/>
      <c r="AA102" s="977"/>
      <c r="AB102" s="977"/>
      <c r="AC102" s="174"/>
      <c r="AF102" s="977"/>
      <c r="AG102" s="982"/>
    </row>
    <row r="103" spans="1:45" x14ac:dyDescent="0.25">
      <c r="B103" s="101"/>
      <c r="C103" s="977"/>
      <c r="E103" s="984"/>
      <c r="F103" s="984"/>
      <c r="G103" s="984"/>
      <c r="H103" s="984"/>
      <c r="I103" s="984"/>
      <c r="J103" s="984"/>
      <c r="K103" s="984"/>
      <c r="S103" s="977"/>
      <c r="T103" s="977"/>
      <c r="U103" s="977"/>
      <c r="V103" s="977"/>
      <c r="W103" s="977"/>
      <c r="X103" s="977"/>
      <c r="Y103" s="977"/>
      <c r="Z103" s="977"/>
      <c r="AA103" s="977"/>
      <c r="AB103" s="977"/>
      <c r="AC103" s="174"/>
      <c r="AE103" s="125">
        <f>72+19</f>
        <v>91</v>
      </c>
      <c r="AF103" s="124" t="e">
        <f>AE103/#REF!</f>
        <v>#REF!</v>
      </c>
      <c r="AG103" s="125">
        <f>10+1</f>
        <v>11</v>
      </c>
      <c r="AH103" s="124" t="e">
        <f>AG103/#REF!</f>
        <v>#REF!</v>
      </c>
      <c r="AI103" s="125">
        <f>3+9</f>
        <v>12</v>
      </c>
      <c r="AJ103" s="124" t="e">
        <f>AI103/#REF!</f>
        <v>#REF!</v>
      </c>
      <c r="AK103" s="126">
        <f>1+7</f>
        <v>8</v>
      </c>
      <c r="AL103" s="127" t="e">
        <f>AK103/#REF!</f>
        <v>#REF!</v>
      </c>
      <c r="AM103" s="125">
        <f>10+8</f>
        <v>18</v>
      </c>
      <c r="AN103" s="124" t="e">
        <f>AM103/#REF!</f>
        <v>#REF!</v>
      </c>
      <c r="AO103" s="126">
        <f>0+6</f>
        <v>6</v>
      </c>
      <c r="AP103" s="127" t="e">
        <f>AO103/#REF!</f>
        <v>#REF!</v>
      </c>
      <c r="AQ103" s="109"/>
      <c r="AR103" s="130" t="e">
        <f>#REF!+AE103+AG103+AI103+AK103+AM103+AO103</f>
        <v>#REF!</v>
      </c>
      <c r="AS103" s="985" t="e">
        <f>#REF!+AF103+AH103+AJ103+AL103+AN103+AP103</f>
        <v>#REF!</v>
      </c>
    </row>
    <row r="104" spans="1:45" x14ac:dyDescent="0.25">
      <c r="E104" s="984"/>
      <c r="F104" s="984"/>
      <c r="G104" s="984"/>
      <c r="H104" s="984"/>
      <c r="I104" s="984"/>
      <c r="J104" s="984"/>
      <c r="K104" s="984"/>
      <c r="S104" s="981"/>
      <c r="T104" s="981"/>
      <c r="U104" s="981"/>
      <c r="V104" s="981"/>
      <c r="W104" s="981"/>
      <c r="X104" s="981"/>
      <c r="Y104" s="981"/>
      <c r="Z104" s="981"/>
      <c r="AA104" s="981"/>
      <c r="AB104" s="981"/>
      <c r="AC104" s="174"/>
    </row>
    <row r="105" spans="1:45" s="183" customFormat="1" ht="14" x14ac:dyDescent="0.3">
      <c r="A105" s="986" t="s">
        <v>1124</v>
      </c>
      <c r="C105" s="987"/>
      <c r="D105" s="987"/>
      <c r="E105" s="988"/>
      <c r="F105" s="988"/>
      <c r="G105" s="988"/>
      <c r="H105" s="988"/>
      <c r="I105" s="988"/>
      <c r="J105" s="988"/>
      <c r="K105" s="988"/>
      <c r="L105" s="987"/>
      <c r="M105" s="987"/>
      <c r="N105" s="987"/>
      <c r="O105" s="987"/>
      <c r="P105" s="987"/>
      <c r="Q105" s="987"/>
      <c r="R105" s="987"/>
      <c r="S105" s="989"/>
      <c r="T105" s="989"/>
      <c r="U105" s="989"/>
      <c r="V105" s="989"/>
      <c r="W105" s="989"/>
      <c r="X105" s="989"/>
      <c r="Y105" s="989"/>
      <c r="Z105" s="989"/>
      <c r="AA105" s="989"/>
      <c r="AB105" s="989"/>
      <c r="AC105" s="990"/>
      <c r="AD105" s="991"/>
    </row>
    <row r="106" spans="1:45" s="183" customFormat="1" ht="14" x14ac:dyDescent="0.3">
      <c r="A106" s="183">
        <v>1</v>
      </c>
      <c r="B106" s="183" t="s">
        <v>1125</v>
      </c>
      <c r="C106" s="987"/>
      <c r="D106" s="987"/>
      <c r="E106" s="988"/>
      <c r="F106" s="988"/>
      <c r="G106" s="988"/>
      <c r="H106" s="988"/>
      <c r="I106" s="988"/>
      <c r="J106" s="988"/>
      <c r="K106" s="988"/>
      <c r="L106" s="987"/>
      <c r="M106" s="987"/>
      <c r="N106" s="987"/>
      <c r="O106" s="987"/>
      <c r="P106" s="987"/>
      <c r="Q106" s="987"/>
      <c r="R106" s="987"/>
      <c r="S106" s="989"/>
      <c r="T106" s="989"/>
      <c r="U106" s="989"/>
      <c r="V106" s="989"/>
      <c r="W106" s="989"/>
      <c r="X106" s="989"/>
      <c r="Y106" s="989"/>
      <c r="Z106" s="989"/>
      <c r="AA106" s="989"/>
      <c r="AB106" s="989"/>
      <c r="AC106" s="990"/>
      <c r="AD106" s="991"/>
    </row>
    <row r="107" spans="1:45" s="183" customFormat="1" ht="14" x14ac:dyDescent="0.3">
      <c r="A107" s="183">
        <v>2</v>
      </c>
      <c r="B107" s="183" t="s">
        <v>1126</v>
      </c>
      <c r="C107" s="987"/>
      <c r="D107" s="987"/>
      <c r="E107" s="988"/>
      <c r="F107" s="988"/>
      <c r="G107" s="988"/>
      <c r="H107" s="988"/>
      <c r="I107" s="988"/>
      <c r="J107" s="988"/>
      <c r="K107" s="988"/>
      <c r="L107" s="987"/>
      <c r="M107" s="987"/>
      <c r="N107" s="987"/>
      <c r="O107" s="987"/>
      <c r="P107" s="987"/>
      <c r="Q107" s="987"/>
      <c r="R107" s="987"/>
      <c r="S107" s="989"/>
      <c r="T107" s="989"/>
      <c r="U107" s="989"/>
      <c r="V107" s="989"/>
      <c r="W107" s="989"/>
      <c r="X107" s="989"/>
      <c r="Y107" s="989"/>
      <c r="Z107" s="989"/>
      <c r="AA107" s="989"/>
      <c r="AB107" s="989"/>
      <c r="AC107" s="990"/>
      <c r="AD107" s="991"/>
    </row>
    <row r="108" spans="1:45" s="183" customFormat="1" ht="14" x14ac:dyDescent="0.3">
      <c r="A108" s="183">
        <v>3</v>
      </c>
      <c r="B108" s="183" t="s">
        <v>1127</v>
      </c>
      <c r="C108" s="987"/>
      <c r="D108" s="987"/>
      <c r="E108" s="988"/>
      <c r="F108" s="988"/>
      <c r="G108" s="988"/>
      <c r="H108" s="988"/>
      <c r="I108" s="988"/>
      <c r="J108" s="988"/>
      <c r="K108" s="988"/>
      <c r="L108" s="987"/>
      <c r="M108" s="987"/>
      <c r="N108" s="987"/>
      <c r="O108" s="987"/>
      <c r="P108" s="987"/>
      <c r="Q108" s="987"/>
      <c r="R108" s="987"/>
      <c r="S108" s="989"/>
      <c r="T108" s="989"/>
      <c r="U108" s="989"/>
      <c r="V108" s="989"/>
      <c r="W108" s="989"/>
      <c r="X108" s="989"/>
      <c r="Y108" s="989"/>
      <c r="Z108" s="989"/>
      <c r="AA108" s="989"/>
      <c r="AB108" s="989"/>
      <c r="AC108" s="990"/>
      <c r="AD108" s="991"/>
    </row>
    <row r="109" spans="1:45" s="183" customFormat="1" ht="14" x14ac:dyDescent="0.3">
      <c r="A109" s="183">
        <v>4</v>
      </c>
      <c r="B109" s="183" t="s">
        <v>1128</v>
      </c>
      <c r="C109" s="987"/>
      <c r="D109" s="987"/>
      <c r="E109" s="988"/>
      <c r="F109" s="988"/>
      <c r="G109" s="988"/>
      <c r="H109" s="988"/>
      <c r="I109" s="988"/>
      <c r="J109" s="988"/>
      <c r="K109" s="988"/>
      <c r="L109" s="987"/>
      <c r="M109" s="987"/>
      <c r="N109" s="987"/>
      <c r="O109" s="987"/>
      <c r="P109" s="987"/>
      <c r="Q109" s="987"/>
      <c r="R109" s="987"/>
      <c r="S109" s="989"/>
      <c r="T109" s="989"/>
      <c r="U109" s="989"/>
      <c r="V109" s="989"/>
      <c r="W109" s="989"/>
      <c r="X109" s="989"/>
      <c r="Y109" s="989"/>
      <c r="Z109" s="989"/>
      <c r="AA109" s="989"/>
      <c r="AB109" s="989"/>
      <c r="AC109" s="990"/>
      <c r="AD109" s="991"/>
    </row>
    <row r="110" spans="1:45" s="183" customFormat="1" ht="14" x14ac:dyDescent="0.3">
      <c r="C110" s="987"/>
      <c r="D110" s="987"/>
      <c r="E110" s="988"/>
      <c r="F110" s="988"/>
      <c r="G110" s="988"/>
      <c r="H110" s="988"/>
      <c r="I110" s="988"/>
      <c r="J110" s="988"/>
      <c r="K110" s="988"/>
      <c r="L110" s="987"/>
      <c r="M110" s="987"/>
      <c r="N110" s="987"/>
      <c r="O110" s="987"/>
      <c r="P110" s="987"/>
      <c r="Q110" s="987"/>
      <c r="R110" s="987"/>
      <c r="S110" s="989"/>
      <c r="T110" s="989"/>
      <c r="U110" s="989"/>
      <c r="V110" s="989"/>
      <c r="W110" s="989"/>
      <c r="X110" s="989"/>
      <c r="Y110" s="989"/>
      <c r="Z110" s="989"/>
      <c r="AA110" s="989"/>
      <c r="AB110" s="989"/>
      <c r="AC110" s="990"/>
      <c r="AD110" s="991"/>
    </row>
    <row r="111" spans="1:45" ht="14.25" customHeight="1" x14ac:dyDescent="0.25">
      <c r="A111" s="1040" t="s">
        <v>1129</v>
      </c>
      <c r="B111" s="1040"/>
      <c r="C111" s="1040"/>
      <c r="D111" s="1040"/>
      <c r="E111" s="1040"/>
      <c r="F111" s="1040"/>
      <c r="G111" s="1040"/>
      <c r="H111" s="1040"/>
      <c r="I111" s="1040"/>
      <c r="J111" s="1040"/>
      <c r="K111" s="1040"/>
      <c r="L111" s="1040"/>
      <c r="M111" s="1040"/>
      <c r="N111" s="1040"/>
      <c r="O111" s="1040"/>
      <c r="P111" s="1040"/>
      <c r="Q111" s="1040"/>
      <c r="R111" s="1040"/>
      <c r="S111" s="1040"/>
      <c r="T111" s="1040"/>
      <c r="U111" s="1040"/>
      <c r="V111" s="981"/>
      <c r="W111" s="981"/>
      <c r="X111" s="981"/>
      <c r="Y111" s="981"/>
      <c r="Z111" s="981"/>
      <c r="AA111" s="981"/>
      <c r="AB111" s="981"/>
      <c r="AC111" s="174"/>
    </row>
    <row r="112" spans="1:45" ht="14.25" customHeight="1" x14ac:dyDescent="0.25">
      <c r="A112" s="1040"/>
      <c r="B112" s="1040"/>
      <c r="C112" s="1040"/>
      <c r="D112" s="1040"/>
      <c r="E112" s="1040"/>
      <c r="F112" s="1040"/>
      <c r="G112" s="1040"/>
      <c r="H112" s="1040"/>
      <c r="I112" s="1040"/>
      <c r="J112" s="1040"/>
      <c r="K112" s="1040"/>
      <c r="L112" s="1040"/>
      <c r="M112" s="1040"/>
      <c r="N112" s="1040"/>
      <c r="O112" s="1040"/>
      <c r="P112" s="1040"/>
      <c r="Q112" s="1040"/>
      <c r="R112" s="1040"/>
      <c r="S112" s="1040"/>
      <c r="T112" s="1040"/>
      <c r="U112" s="1040"/>
      <c r="V112" s="981"/>
      <c r="W112" s="981"/>
      <c r="X112" s="981"/>
      <c r="Y112" s="981"/>
      <c r="Z112" s="981"/>
      <c r="AA112" s="981"/>
      <c r="AB112" s="981"/>
      <c r="AC112" s="174"/>
    </row>
    <row r="113" spans="1:30" ht="14.25" customHeight="1" x14ac:dyDescent="0.3">
      <c r="A113" s="987"/>
      <c r="B113" s="987"/>
      <c r="C113" s="987"/>
      <c r="D113" s="987"/>
      <c r="E113" s="987"/>
      <c r="F113" s="987"/>
      <c r="G113" s="987"/>
      <c r="H113" s="987"/>
      <c r="I113" s="987"/>
      <c r="J113" s="987"/>
      <c r="K113" s="987"/>
      <c r="L113" s="987"/>
      <c r="M113" s="987"/>
      <c r="N113" s="987"/>
      <c r="O113" s="987"/>
      <c r="P113" s="987"/>
      <c r="Q113" s="987"/>
      <c r="R113" s="987"/>
      <c r="S113" s="987"/>
      <c r="T113" s="987"/>
      <c r="U113" s="987"/>
      <c r="V113" s="981"/>
      <c r="W113" s="981"/>
      <c r="X113" s="981"/>
      <c r="Y113" s="981"/>
      <c r="Z113" s="981"/>
      <c r="AA113" s="981"/>
      <c r="AB113" s="981"/>
      <c r="AC113" s="174"/>
    </row>
    <row r="114" spans="1:30" ht="14" x14ac:dyDescent="0.3">
      <c r="A114" s="183" t="s">
        <v>1130</v>
      </c>
      <c r="E114" s="984"/>
      <c r="F114" s="984"/>
      <c r="G114" s="984"/>
      <c r="H114" s="984"/>
      <c r="I114" s="984"/>
      <c r="J114" s="984"/>
      <c r="K114" s="984"/>
      <c r="S114" s="981"/>
      <c r="T114" s="981"/>
      <c r="U114" s="981"/>
      <c r="V114" s="981"/>
      <c r="W114" s="981"/>
      <c r="X114" s="981"/>
      <c r="Y114" s="981"/>
      <c r="Z114" s="981"/>
      <c r="AA114" s="981"/>
      <c r="AB114" s="981"/>
      <c r="AC114" s="174"/>
    </row>
    <row r="115" spans="1:30" ht="14" x14ac:dyDescent="0.3">
      <c r="A115" s="183" t="s">
        <v>1131</v>
      </c>
      <c r="AC115" s="174"/>
    </row>
    <row r="116" spans="1:30" ht="14" x14ac:dyDescent="0.3">
      <c r="A116" s="183" t="s">
        <v>1132</v>
      </c>
      <c r="AC116" s="174"/>
    </row>
    <row r="117" spans="1:30" ht="14" x14ac:dyDescent="0.3">
      <c r="A117" s="183"/>
      <c r="AD117" s="992"/>
    </row>
    <row r="118" spans="1:30" ht="14" x14ac:dyDescent="0.3">
      <c r="A118" s="183"/>
    </row>
    <row r="119" spans="1:30" ht="14" x14ac:dyDescent="0.3">
      <c r="A119" s="183"/>
    </row>
    <row r="121" spans="1:30" ht="14.5" x14ac:dyDescent="0.35">
      <c r="A121" s="183"/>
      <c r="B121" s="993" t="s">
        <v>1133</v>
      </c>
      <c r="C121" s="987"/>
      <c r="D121" s="987"/>
      <c r="E121" s="987"/>
      <c r="F121" s="987"/>
      <c r="G121" s="987"/>
      <c r="H121" s="987"/>
      <c r="I121" s="987"/>
      <c r="J121" s="987"/>
      <c r="K121" s="987"/>
      <c r="L121" s="987"/>
      <c r="M121" s="987"/>
      <c r="N121" s="987"/>
      <c r="O121" s="987"/>
      <c r="P121" s="987"/>
      <c r="Q121" s="987"/>
      <c r="R121" s="987"/>
      <c r="S121" s="987"/>
      <c r="T121" s="987"/>
      <c r="U121" s="987"/>
      <c r="V121" s="987"/>
      <c r="AD121" s="992"/>
    </row>
    <row r="122" spans="1:30" ht="14.25" customHeight="1" x14ac:dyDescent="0.3">
      <c r="A122" s="183">
        <v>1</v>
      </c>
      <c r="B122" s="1041" t="s">
        <v>1134</v>
      </c>
      <c r="C122" s="1041"/>
      <c r="D122" s="1041"/>
      <c r="E122" s="1041"/>
      <c r="F122" s="1041"/>
      <c r="G122" s="1041"/>
      <c r="H122" s="1041"/>
      <c r="I122" s="1041"/>
      <c r="J122" s="1041"/>
      <c r="K122" s="1041"/>
      <c r="L122" s="1041"/>
      <c r="M122" s="1041"/>
      <c r="N122" s="1041"/>
      <c r="O122" s="1041"/>
      <c r="P122" s="1041"/>
      <c r="Q122" s="1041"/>
      <c r="R122" s="1041"/>
      <c r="S122" s="1041"/>
      <c r="T122" s="1041"/>
      <c r="U122" s="1041"/>
      <c r="V122" s="994" t="s">
        <v>61</v>
      </c>
      <c r="W122" s="994"/>
      <c r="X122" s="994"/>
    </row>
    <row r="123" spans="1:30" ht="14.25" customHeight="1" x14ac:dyDescent="0.3">
      <c r="A123" s="183"/>
      <c r="B123" s="1041"/>
      <c r="C123" s="1041"/>
      <c r="D123" s="1041"/>
      <c r="E123" s="1041"/>
      <c r="F123" s="1041"/>
      <c r="G123" s="1041"/>
      <c r="H123" s="1041"/>
      <c r="I123" s="1041"/>
      <c r="J123" s="1041"/>
      <c r="K123" s="1041"/>
      <c r="L123" s="1041"/>
      <c r="M123" s="1041"/>
      <c r="N123" s="1041"/>
      <c r="O123" s="1041"/>
      <c r="P123" s="1041"/>
      <c r="Q123" s="1041"/>
      <c r="R123" s="1041"/>
      <c r="S123" s="1041"/>
      <c r="T123" s="1041"/>
      <c r="U123" s="1041"/>
      <c r="V123" s="994"/>
      <c r="W123" s="994"/>
      <c r="X123" s="994"/>
    </row>
    <row r="124" spans="1:30" ht="14" x14ac:dyDescent="0.3">
      <c r="A124" s="183">
        <v>2</v>
      </c>
      <c r="B124" s="1042" t="s">
        <v>1135</v>
      </c>
      <c r="C124" s="1042"/>
      <c r="D124" s="1042"/>
      <c r="E124" s="1042"/>
      <c r="F124" s="1042"/>
      <c r="G124" s="1042"/>
      <c r="H124" s="1042"/>
      <c r="I124" s="1042"/>
      <c r="J124" s="1042"/>
      <c r="K124" s="1042"/>
      <c r="L124" s="1042"/>
      <c r="M124" s="1042"/>
      <c r="N124" s="1042"/>
      <c r="O124" s="1042"/>
      <c r="P124" s="1042"/>
      <c r="Q124" s="1042"/>
      <c r="R124" s="1042"/>
      <c r="S124" s="1042"/>
      <c r="T124" s="1042"/>
      <c r="U124" s="1042"/>
      <c r="V124" s="987" t="s">
        <v>61</v>
      </c>
    </row>
    <row r="125" spans="1:30" ht="14.25" customHeight="1" x14ac:dyDescent="0.3">
      <c r="A125" s="183">
        <v>3</v>
      </c>
      <c r="B125" s="1043" t="s">
        <v>1136</v>
      </c>
      <c r="C125" s="1043"/>
      <c r="D125" s="1043"/>
      <c r="E125" s="1043"/>
      <c r="F125" s="1043"/>
      <c r="G125" s="1043"/>
      <c r="H125" s="1043"/>
      <c r="I125" s="1043"/>
      <c r="J125" s="1043"/>
      <c r="K125" s="1043"/>
      <c r="L125" s="1043"/>
      <c r="M125" s="1043"/>
      <c r="N125" s="1043"/>
      <c r="O125" s="1043"/>
      <c r="P125" s="1043"/>
      <c r="Q125" s="1043"/>
      <c r="R125" s="1043"/>
      <c r="S125" s="1043"/>
      <c r="T125" s="1043"/>
      <c r="U125" s="1043"/>
      <c r="V125" s="987" t="s">
        <v>61</v>
      </c>
    </row>
    <row r="126" spans="1:30" ht="14" x14ac:dyDescent="0.3">
      <c r="A126" s="183"/>
      <c r="B126" s="1043"/>
      <c r="C126" s="1043"/>
      <c r="D126" s="1043"/>
      <c r="E126" s="1043"/>
      <c r="F126" s="1043"/>
      <c r="G126" s="1043"/>
      <c r="H126" s="1043"/>
      <c r="I126" s="1043"/>
      <c r="J126" s="1043"/>
      <c r="K126" s="1043"/>
      <c r="L126" s="1043"/>
      <c r="M126" s="1043"/>
      <c r="N126" s="1043"/>
      <c r="O126" s="1043"/>
      <c r="P126" s="1043"/>
      <c r="Q126" s="1043"/>
      <c r="R126" s="1043"/>
      <c r="S126" s="1043"/>
      <c r="T126" s="1043"/>
      <c r="U126" s="1043"/>
      <c r="V126" s="987"/>
    </row>
    <row r="127" spans="1:30" ht="14.25" customHeight="1" x14ac:dyDescent="0.3">
      <c r="A127" s="183">
        <v>4</v>
      </c>
      <c r="B127" s="1043" t="s">
        <v>1137</v>
      </c>
      <c r="C127" s="1043"/>
      <c r="D127" s="1043"/>
      <c r="E127" s="1043"/>
      <c r="F127" s="1043"/>
      <c r="G127" s="1043"/>
      <c r="H127" s="1043"/>
      <c r="I127" s="1043"/>
      <c r="J127" s="1043"/>
      <c r="K127" s="1043"/>
      <c r="L127" s="1043"/>
      <c r="M127" s="1043"/>
      <c r="N127" s="1043"/>
      <c r="O127" s="1043"/>
      <c r="P127" s="1043"/>
      <c r="Q127" s="1043"/>
      <c r="R127" s="1043"/>
      <c r="S127" s="1043"/>
      <c r="T127" s="1043"/>
      <c r="U127" s="1043"/>
      <c r="V127" s="987" t="s">
        <v>61</v>
      </c>
    </row>
    <row r="128" spans="1:30" ht="14" x14ac:dyDescent="0.3">
      <c r="A128" s="183"/>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987"/>
    </row>
    <row r="129" spans="1:30" s="183" customFormat="1" ht="14" x14ac:dyDescent="0.3">
      <c r="A129" s="183">
        <v>5</v>
      </c>
      <c r="B129" s="1043" t="s">
        <v>1138</v>
      </c>
      <c r="C129" s="1043"/>
      <c r="D129" s="1043"/>
      <c r="E129" s="1043"/>
      <c r="F129" s="1043"/>
      <c r="G129" s="1043"/>
      <c r="H129" s="1043"/>
      <c r="I129" s="1043"/>
      <c r="J129" s="1043"/>
      <c r="K129" s="1043"/>
      <c r="L129" s="1043"/>
      <c r="M129" s="1043"/>
      <c r="N129" s="1043"/>
      <c r="O129" s="1043"/>
      <c r="P129" s="1043"/>
      <c r="Q129" s="1043"/>
      <c r="R129" s="1043"/>
      <c r="S129" s="1043"/>
      <c r="T129" s="1043"/>
      <c r="U129" s="1043"/>
      <c r="V129" s="987" t="s">
        <v>61</v>
      </c>
      <c r="W129" s="987"/>
      <c r="X129" s="987"/>
      <c r="Y129" s="987"/>
      <c r="Z129" s="987"/>
      <c r="AD129" s="991"/>
    </row>
    <row r="130" spans="1:30" s="183" customFormat="1" ht="14" x14ac:dyDescent="0.3">
      <c r="B130" s="1043"/>
      <c r="C130" s="1043"/>
      <c r="D130" s="1043"/>
      <c r="E130" s="1043"/>
      <c r="F130" s="1043"/>
      <c r="G130" s="1043"/>
      <c r="H130" s="1043"/>
      <c r="I130" s="1043"/>
      <c r="J130" s="1043"/>
      <c r="K130" s="1043"/>
      <c r="L130" s="1043"/>
      <c r="M130" s="1043"/>
      <c r="N130" s="1043"/>
      <c r="O130" s="1043"/>
      <c r="P130" s="1043"/>
      <c r="Q130" s="1043"/>
      <c r="R130" s="1043"/>
      <c r="S130" s="1043"/>
      <c r="T130" s="1043"/>
      <c r="U130" s="1043"/>
      <c r="V130" s="987"/>
      <c r="W130" s="987"/>
      <c r="X130" s="987"/>
      <c r="Y130" s="987"/>
      <c r="Z130" s="987"/>
      <c r="AD130" s="991"/>
    </row>
    <row r="131" spans="1:30" s="183" customFormat="1" ht="14" x14ac:dyDescent="0.3">
      <c r="A131" s="183">
        <v>6</v>
      </c>
      <c r="B131" s="1043" t="s">
        <v>1139</v>
      </c>
      <c r="C131" s="1043"/>
      <c r="D131" s="1043"/>
      <c r="E131" s="1043"/>
      <c r="F131" s="1043"/>
      <c r="G131" s="1043"/>
      <c r="H131" s="1043"/>
      <c r="I131" s="1043"/>
      <c r="J131" s="1043"/>
      <c r="K131" s="1043"/>
      <c r="L131" s="1043"/>
      <c r="M131" s="1043"/>
      <c r="N131" s="1043"/>
      <c r="O131" s="1043"/>
      <c r="P131" s="1043"/>
      <c r="Q131" s="1043"/>
      <c r="R131" s="1043"/>
      <c r="S131" s="1043"/>
      <c r="T131" s="1043"/>
      <c r="U131" s="1043"/>
      <c r="V131" s="987" t="s">
        <v>61</v>
      </c>
      <c r="W131" s="987"/>
      <c r="X131" s="987"/>
      <c r="Y131" s="987"/>
      <c r="Z131" s="987"/>
      <c r="AD131" s="991"/>
    </row>
    <row r="132" spans="1:30" s="183" customFormat="1" ht="14" x14ac:dyDescent="0.3">
      <c r="B132" s="1043"/>
      <c r="C132" s="1043"/>
      <c r="D132" s="1043"/>
      <c r="E132" s="1043"/>
      <c r="F132" s="1043"/>
      <c r="G132" s="1043"/>
      <c r="H132" s="1043"/>
      <c r="I132" s="1043"/>
      <c r="J132" s="1043"/>
      <c r="K132" s="1043"/>
      <c r="L132" s="1043"/>
      <c r="M132" s="1043"/>
      <c r="N132" s="1043"/>
      <c r="O132" s="1043"/>
      <c r="P132" s="1043"/>
      <c r="Q132" s="1043"/>
      <c r="R132" s="1043"/>
      <c r="S132" s="1043"/>
      <c r="T132" s="1043"/>
      <c r="U132" s="1043"/>
      <c r="V132" s="987"/>
      <c r="W132" s="987"/>
      <c r="X132" s="987"/>
      <c r="Y132" s="987"/>
      <c r="Z132" s="987"/>
      <c r="AD132" s="991"/>
    </row>
    <row r="133" spans="1:30" s="183" customFormat="1" ht="14" x14ac:dyDescent="0.3">
      <c r="A133" s="183">
        <v>7</v>
      </c>
      <c r="B133" s="1042" t="s">
        <v>1140</v>
      </c>
      <c r="C133" s="1042"/>
      <c r="D133" s="1042"/>
      <c r="E133" s="1042"/>
      <c r="F133" s="1042"/>
      <c r="G133" s="1042"/>
      <c r="H133" s="1042"/>
      <c r="I133" s="1042"/>
      <c r="J133" s="1042"/>
      <c r="K133" s="1042"/>
      <c r="L133" s="1042"/>
      <c r="M133" s="1042"/>
      <c r="N133" s="1042"/>
      <c r="O133" s="1042"/>
      <c r="P133" s="1042"/>
      <c r="Q133" s="1042"/>
      <c r="R133" s="1042"/>
      <c r="S133" s="1042"/>
      <c r="T133" s="1042"/>
      <c r="U133" s="1042"/>
      <c r="V133" s="987" t="s">
        <v>61</v>
      </c>
      <c r="W133" s="987"/>
      <c r="X133" s="987"/>
      <c r="Y133" s="987"/>
      <c r="Z133" s="987"/>
      <c r="AD133" s="991"/>
    </row>
    <row r="134" spans="1:30" s="183" customFormat="1" ht="14" x14ac:dyDescent="0.3">
      <c r="A134" s="183">
        <v>8</v>
      </c>
      <c r="B134" s="1042" t="s">
        <v>1141</v>
      </c>
      <c r="C134" s="1042"/>
      <c r="D134" s="1042"/>
      <c r="E134" s="1042"/>
      <c r="F134" s="1042"/>
      <c r="G134" s="1042"/>
      <c r="H134" s="1042"/>
      <c r="I134" s="1042"/>
      <c r="J134" s="1042"/>
      <c r="K134" s="1042"/>
      <c r="L134" s="1042"/>
      <c r="M134" s="1042"/>
      <c r="N134" s="1042"/>
      <c r="O134" s="1042"/>
      <c r="P134" s="1042"/>
      <c r="Q134" s="1042"/>
      <c r="R134" s="1042"/>
      <c r="S134" s="1042"/>
      <c r="T134" s="1042"/>
      <c r="U134" s="1042"/>
      <c r="V134" s="987" t="s">
        <v>61</v>
      </c>
      <c r="W134" s="987"/>
      <c r="X134" s="987"/>
      <c r="Y134" s="987"/>
      <c r="Z134" s="987"/>
      <c r="AD134" s="991"/>
    </row>
    <row r="135" spans="1:30" s="183" customFormat="1" ht="14" x14ac:dyDescent="0.3">
      <c r="A135" s="183">
        <v>9</v>
      </c>
      <c r="B135" s="1042" t="s">
        <v>1142</v>
      </c>
      <c r="C135" s="1042"/>
      <c r="D135" s="1042"/>
      <c r="E135" s="1042"/>
      <c r="F135" s="1042"/>
      <c r="G135" s="1042"/>
      <c r="H135" s="1042"/>
      <c r="I135" s="1042"/>
      <c r="J135" s="1042"/>
      <c r="K135" s="1042"/>
      <c r="L135" s="1042"/>
      <c r="M135" s="1042"/>
      <c r="N135" s="1042"/>
      <c r="O135" s="1042"/>
      <c r="P135" s="1042"/>
      <c r="Q135" s="1042"/>
      <c r="R135" s="1042"/>
      <c r="S135" s="1042"/>
      <c r="T135" s="1042"/>
      <c r="U135" s="1042"/>
      <c r="V135" s="987" t="s">
        <v>61</v>
      </c>
      <c r="W135" s="987"/>
      <c r="X135" s="987"/>
      <c r="Y135" s="987"/>
      <c r="Z135" s="987"/>
      <c r="AD135" s="991"/>
    </row>
    <row r="136" spans="1:30" s="183" customFormat="1" ht="14" x14ac:dyDescent="0.3">
      <c r="C136" s="987"/>
      <c r="D136" s="987"/>
      <c r="E136" s="987"/>
      <c r="F136" s="987"/>
      <c r="G136" s="987"/>
      <c r="H136" s="987"/>
      <c r="I136" s="987"/>
      <c r="J136" s="987"/>
      <c r="K136" s="987"/>
      <c r="L136" s="987"/>
      <c r="M136" s="987"/>
      <c r="N136" s="987"/>
      <c r="O136" s="987"/>
      <c r="P136" s="987"/>
      <c r="Q136" s="987"/>
      <c r="R136" s="987"/>
      <c r="S136" s="987"/>
      <c r="T136" s="987"/>
      <c r="U136" s="987"/>
      <c r="V136" s="987"/>
      <c r="W136" s="987"/>
      <c r="X136" s="987"/>
      <c r="Y136" s="987"/>
      <c r="Z136" s="987"/>
      <c r="AD136" s="991"/>
    </row>
    <row r="137" spans="1:30" s="183" customFormat="1" ht="14" x14ac:dyDescent="0.3">
      <c r="B137" s="995"/>
      <c r="C137" s="987"/>
      <c r="D137" s="987"/>
      <c r="E137" s="987"/>
      <c r="F137" s="987"/>
      <c r="G137" s="987"/>
      <c r="H137" s="987"/>
      <c r="I137" s="987"/>
      <c r="J137" s="987"/>
      <c r="K137" s="987"/>
      <c r="L137" s="987"/>
      <c r="M137" s="987"/>
      <c r="N137" s="987"/>
      <c r="O137" s="987"/>
      <c r="P137" s="987"/>
      <c r="Q137" s="987"/>
      <c r="R137" s="987"/>
      <c r="S137" s="987"/>
      <c r="T137" s="987"/>
      <c r="U137" s="987"/>
      <c r="V137" s="987"/>
      <c r="W137" s="987"/>
      <c r="X137" s="987"/>
      <c r="Y137" s="987"/>
      <c r="Z137" s="987"/>
      <c r="AD137" s="991"/>
    </row>
    <row r="138" spans="1:30" s="183" customFormat="1" ht="14" x14ac:dyDescent="0.3">
      <c r="B138" s="995"/>
      <c r="C138" s="987"/>
      <c r="D138" s="987"/>
      <c r="E138" s="987"/>
      <c r="F138" s="987"/>
      <c r="G138" s="987"/>
      <c r="H138" s="987"/>
      <c r="I138" s="987"/>
      <c r="J138" s="987"/>
      <c r="K138" s="987"/>
      <c r="L138" s="987"/>
      <c r="M138" s="987"/>
      <c r="N138" s="987"/>
      <c r="O138" s="987"/>
      <c r="P138" s="987"/>
      <c r="Q138" s="987"/>
      <c r="R138" s="987"/>
      <c r="S138" s="987"/>
      <c r="T138" s="987"/>
      <c r="U138" s="987"/>
      <c r="V138" s="987"/>
      <c r="W138" s="987"/>
      <c r="X138" s="987"/>
      <c r="Y138" s="987"/>
      <c r="Z138" s="987"/>
      <c r="AD138" s="991"/>
    </row>
    <row r="139" spans="1:30" s="183" customFormat="1" ht="14" x14ac:dyDescent="0.3">
      <c r="C139" s="987"/>
      <c r="D139" s="987"/>
      <c r="E139" s="987"/>
      <c r="F139" s="987"/>
      <c r="G139" s="987"/>
      <c r="H139" s="987"/>
      <c r="I139" s="987"/>
      <c r="J139" s="987"/>
      <c r="K139" s="987"/>
      <c r="L139" s="987"/>
      <c r="M139" s="987"/>
      <c r="N139" s="987"/>
      <c r="O139" s="987"/>
      <c r="P139" s="987"/>
      <c r="Q139" s="987"/>
      <c r="R139" s="987"/>
      <c r="S139" s="987"/>
      <c r="T139" s="987"/>
      <c r="U139" s="987"/>
      <c r="V139" s="987"/>
      <c r="W139" s="987"/>
      <c r="X139" s="987"/>
      <c r="Y139" s="987"/>
      <c r="Z139" s="987"/>
      <c r="AD139" s="991"/>
    </row>
    <row r="140" spans="1:30" s="183" customFormat="1" ht="14" x14ac:dyDescent="0.3">
      <c r="C140" s="987"/>
      <c r="D140" s="987"/>
      <c r="E140" s="987"/>
      <c r="F140" s="987"/>
      <c r="G140" s="987"/>
      <c r="H140" s="987"/>
      <c r="I140" s="987"/>
      <c r="J140" s="987"/>
      <c r="K140" s="987"/>
      <c r="L140" s="987"/>
      <c r="M140" s="987"/>
      <c r="N140" s="987"/>
      <c r="O140" s="987"/>
      <c r="P140" s="987"/>
      <c r="Q140" s="987"/>
      <c r="R140" s="987"/>
      <c r="S140" s="987"/>
      <c r="T140" s="987"/>
      <c r="U140" s="987"/>
      <c r="V140" s="987"/>
      <c r="W140" s="987"/>
      <c r="X140" s="987"/>
      <c r="Y140" s="987"/>
      <c r="Z140" s="987"/>
      <c r="AD140" s="991"/>
    </row>
    <row r="141" spans="1:30" s="183" customFormat="1" ht="14" x14ac:dyDescent="0.3">
      <c r="C141" s="987"/>
      <c r="D141" s="987"/>
      <c r="E141" s="987"/>
      <c r="F141" s="987"/>
      <c r="G141" s="987"/>
      <c r="H141" s="987"/>
      <c r="I141" s="987"/>
      <c r="J141" s="987"/>
      <c r="K141" s="987"/>
      <c r="L141" s="987"/>
      <c r="M141" s="987"/>
      <c r="N141" s="987"/>
      <c r="O141" s="987"/>
      <c r="P141" s="987"/>
      <c r="Q141" s="987"/>
      <c r="R141" s="987"/>
      <c r="S141" s="987"/>
      <c r="T141" s="987"/>
      <c r="U141" s="987"/>
      <c r="V141" s="987"/>
      <c r="W141" s="987"/>
      <c r="X141" s="987"/>
      <c r="Y141" s="987"/>
      <c r="Z141" s="987"/>
      <c r="AD141" s="991"/>
    </row>
    <row r="142" spans="1:30" s="183" customFormat="1" ht="14" x14ac:dyDescent="0.3">
      <c r="U142" s="987"/>
      <c r="V142" s="987"/>
      <c r="W142" s="987"/>
      <c r="X142" s="987"/>
      <c r="Y142" s="987"/>
      <c r="Z142" s="987"/>
      <c r="AD142" s="991"/>
    </row>
    <row r="143" spans="1:30" s="183" customFormat="1" ht="14" x14ac:dyDescent="0.3">
      <c r="C143" s="987"/>
      <c r="D143" s="987"/>
      <c r="E143" s="987"/>
      <c r="F143" s="987"/>
      <c r="G143" s="987"/>
      <c r="H143" s="987"/>
      <c r="I143" s="987"/>
      <c r="J143" s="987"/>
      <c r="K143" s="987"/>
      <c r="L143" s="987"/>
      <c r="M143" s="987"/>
      <c r="N143" s="987"/>
      <c r="O143" s="987"/>
      <c r="P143" s="987"/>
      <c r="Q143" s="987"/>
      <c r="R143" s="987"/>
      <c r="S143" s="987"/>
      <c r="T143" s="987"/>
      <c r="U143" s="987"/>
      <c r="V143" s="987"/>
      <c r="W143" s="987"/>
      <c r="X143" s="987"/>
      <c r="Y143" s="987"/>
      <c r="Z143" s="987"/>
      <c r="AD143" s="991"/>
    </row>
    <row r="152" spans="1:13" ht="25" x14ac:dyDescent="0.25">
      <c r="H152" s="9" t="s">
        <v>417</v>
      </c>
      <c r="I152" s="9"/>
      <c r="J152" s="9" t="s">
        <v>418</v>
      </c>
    </row>
    <row r="153" spans="1:13" ht="50" x14ac:dyDescent="0.25">
      <c r="A153" s="583" t="s">
        <v>419</v>
      </c>
      <c r="B153" s="1038" t="s">
        <v>420</v>
      </c>
      <c r="C153" s="1038"/>
      <c r="E153" s="9" t="s">
        <v>421</v>
      </c>
      <c r="F153" s="367" t="s">
        <v>1</v>
      </c>
      <c r="H153" s="9" t="s">
        <v>422</v>
      </c>
      <c r="I153" s="9" t="s">
        <v>423</v>
      </c>
      <c r="J153" s="9" t="s">
        <v>422</v>
      </c>
      <c r="K153" s="9" t="s">
        <v>423</v>
      </c>
    </row>
    <row r="154" spans="1:13" x14ac:dyDescent="0.25">
      <c r="B154">
        <v>600</v>
      </c>
      <c r="C154" s="981">
        <v>600000</v>
      </c>
      <c r="D154" s="981" t="s">
        <v>244</v>
      </c>
      <c r="E154" s="981">
        <v>679800</v>
      </c>
      <c r="F154" s="981">
        <v>679800</v>
      </c>
      <c r="G154" s="981"/>
      <c r="H154" s="981">
        <v>325943.5</v>
      </c>
      <c r="I154" s="981">
        <v>106090</v>
      </c>
      <c r="J154" s="981">
        <v>285600.46000000002</v>
      </c>
      <c r="K154" s="981">
        <v>91206.5</v>
      </c>
      <c r="L154" s="981"/>
      <c r="M154" s="981"/>
    </row>
    <row r="155" spans="1:13" ht="25" x14ac:dyDescent="0.25">
      <c r="B155">
        <v>100</v>
      </c>
      <c r="C155" s="981">
        <v>700000</v>
      </c>
      <c r="D155" s="981" t="s">
        <v>245</v>
      </c>
      <c r="E155" s="981">
        <v>793100.00000000012</v>
      </c>
      <c r="F155" s="981">
        <v>113300.00000000012</v>
      </c>
      <c r="G155" s="981"/>
      <c r="H155" s="981">
        <v>362699.05000000005</v>
      </c>
      <c r="I155" s="981">
        <v>111394.5</v>
      </c>
      <c r="J155" s="981">
        <v>330775.23</v>
      </c>
      <c r="K155" s="981">
        <v>91206.5</v>
      </c>
      <c r="L155" s="981"/>
      <c r="M155" s="981"/>
    </row>
    <row r="156" spans="1:13" x14ac:dyDescent="0.25">
      <c r="B156">
        <v>250</v>
      </c>
      <c r="C156" s="981">
        <v>950000</v>
      </c>
      <c r="D156" s="981" t="s">
        <v>246</v>
      </c>
      <c r="E156" s="981">
        <v>1076350.0000000002</v>
      </c>
      <c r="F156" s="981">
        <v>283250.00000000012</v>
      </c>
      <c r="G156" s="981"/>
      <c r="H156" s="981">
        <v>399454.60000000003</v>
      </c>
      <c r="I156" s="981">
        <v>116699</v>
      </c>
      <c r="J156" s="981">
        <v>375950</v>
      </c>
      <c r="K156" s="981">
        <v>91206.5</v>
      </c>
      <c r="L156" s="981"/>
      <c r="M156" s="981"/>
    </row>
    <row r="157" spans="1:13" ht="25" x14ac:dyDescent="0.25">
      <c r="A157">
        <v>50</v>
      </c>
      <c r="B157">
        <v>150</v>
      </c>
      <c r="C157" s="981">
        <v>1100000</v>
      </c>
      <c r="D157" s="981" t="s">
        <v>247</v>
      </c>
      <c r="E157" s="981">
        <v>1246300</v>
      </c>
      <c r="F157" s="981">
        <v>169949.99999999977</v>
      </c>
      <c r="G157" s="981"/>
      <c r="H157" s="981">
        <v>438718.2</v>
      </c>
      <c r="I157" s="981">
        <v>122003.5</v>
      </c>
      <c r="J157" s="981">
        <v>394773.25</v>
      </c>
      <c r="K157" s="981">
        <v>91206.5</v>
      </c>
      <c r="L157" s="981"/>
      <c r="M157" s="981"/>
    </row>
    <row r="158" spans="1:13" x14ac:dyDescent="0.25">
      <c r="A158">
        <v>50</v>
      </c>
      <c r="B158">
        <v>300</v>
      </c>
      <c r="C158" s="981">
        <v>1400000</v>
      </c>
      <c r="D158" s="981" t="s">
        <v>248</v>
      </c>
      <c r="E158" s="981">
        <v>1586200.0000000002</v>
      </c>
      <c r="F158" s="981">
        <v>339900.00000000023</v>
      </c>
      <c r="G158" s="981"/>
      <c r="H158" s="981">
        <v>477981.8</v>
      </c>
      <c r="I158" s="981">
        <v>127308</v>
      </c>
      <c r="J158" s="981">
        <v>413596.5</v>
      </c>
      <c r="K158" s="981">
        <v>91206.5</v>
      </c>
      <c r="L158" s="981"/>
      <c r="M158" s="981"/>
    </row>
    <row r="159" spans="1:13" ht="25" x14ac:dyDescent="0.25">
      <c r="A159">
        <v>50</v>
      </c>
      <c r="B159">
        <v>200</v>
      </c>
      <c r="C159" s="981">
        <v>1600000</v>
      </c>
      <c r="D159" s="981" t="s">
        <v>249</v>
      </c>
      <c r="E159" s="981">
        <v>1812800.0000000002</v>
      </c>
      <c r="F159" s="981">
        <v>226600</v>
      </c>
      <c r="G159" s="981"/>
      <c r="H159" s="981">
        <v>522601.4</v>
      </c>
      <c r="I159" s="981">
        <v>137917</v>
      </c>
      <c r="J159" s="981"/>
      <c r="K159" s="981"/>
      <c r="L159" s="981"/>
      <c r="M159" s="981"/>
    </row>
    <row r="160" spans="1:13" x14ac:dyDescent="0.25">
      <c r="A160">
        <v>50</v>
      </c>
      <c r="B160">
        <v>350</v>
      </c>
      <c r="C160" s="981">
        <v>1950000</v>
      </c>
      <c r="D160" s="981" t="s">
        <v>250</v>
      </c>
      <c r="E160" s="981">
        <v>2209350</v>
      </c>
      <c r="F160" s="981">
        <v>396549.99999999977</v>
      </c>
      <c r="G160" s="981"/>
      <c r="H160" s="981">
        <v>567221</v>
      </c>
      <c r="I160" s="981">
        <v>148526</v>
      </c>
      <c r="J160" s="981"/>
      <c r="K160" s="981"/>
      <c r="L160" s="981"/>
      <c r="M160" s="981"/>
    </row>
    <row r="161" spans="1:13" ht="25" x14ac:dyDescent="0.25">
      <c r="A161">
        <v>50</v>
      </c>
      <c r="B161">
        <v>250</v>
      </c>
      <c r="C161" s="981">
        <v>2200000</v>
      </c>
      <c r="D161" s="981" t="s">
        <v>251</v>
      </c>
      <c r="E161" s="981">
        <v>2492600</v>
      </c>
      <c r="F161" s="981">
        <v>283250</v>
      </c>
      <c r="G161" s="981"/>
      <c r="H161" s="981">
        <v>615208.69999999995</v>
      </c>
      <c r="I161" s="981">
        <v>153830.5</v>
      </c>
      <c r="J161" s="981"/>
      <c r="K161" s="981"/>
      <c r="L161" s="981"/>
      <c r="M161" s="981"/>
    </row>
    <row r="162" spans="1:13" x14ac:dyDescent="0.25">
      <c r="A162">
        <v>50</v>
      </c>
      <c r="B162">
        <v>400</v>
      </c>
      <c r="C162" s="981">
        <v>2600000</v>
      </c>
      <c r="D162" s="981" t="s">
        <v>252</v>
      </c>
      <c r="E162" s="981">
        <v>2945800</v>
      </c>
      <c r="F162" s="981">
        <v>453200</v>
      </c>
      <c r="G162" s="981"/>
      <c r="H162" s="981">
        <v>663196.4</v>
      </c>
      <c r="I162" s="981">
        <v>159135</v>
      </c>
      <c r="J162" s="981"/>
      <c r="K162" s="981"/>
      <c r="L162" s="981"/>
      <c r="M162" s="981"/>
    </row>
    <row r="163" spans="1:13" ht="25" x14ac:dyDescent="0.25">
      <c r="A163">
        <v>50</v>
      </c>
      <c r="B163">
        <v>300</v>
      </c>
      <c r="C163" s="981">
        <v>2900000</v>
      </c>
      <c r="D163" s="981" t="s">
        <v>424</v>
      </c>
      <c r="E163" s="981">
        <v>3285700.0000000005</v>
      </c>
      <c r="F163" s="981">
        <v>339900.00000000047</v>
      </c>
      <c r="G163" s="981"/>
      <c r="H163" s="981"/>
      <c r="I163" s="981"/>
      <c r="J163" s="981"/>
      <c r="K163" s="981"/>
      <c r="L163" s="981"/>
      <c r="M163" s="981"/>
    </row>
    <row r="164" spans="1:13" x14ac:dyDescent="0.25">
      <c r="A164">
        <v>50</v>
      </c>
      <c r="B164">
        <v>450</v>
      </c>
      <c r="C164" s="981">
        <v>3350000</v>
      </c>
      <c r="D164" s="981" t="s">
        <v>425</v>
      </c>
      <c r="E164" s="981">
        <v>3795550.0000000005</v>
      </c>
      <c r="F164" s="981">
        <v>509850</v>
      </c>
      <c r="G164" s="981"/>
      <c r="H164" s="981"/>
      <c r="I164" s="981"/>
      <c r="J164" s="981"/>
      <c r="K164" s="981"/>
      <c r="L164" s="981"/>
      <c r="M164" s="981"/>
    </row>
  </sheetData>
  <mergeCells count="12">
    <mergeCell ref="B153:C153"/>
    <mergeCell ref="A2:B2"/>
    <mergeCell ref="A111:U112"/>
    <mergeCell ref="B122:U123"/>
    <mergeCell ref="B124:U124"/>
    <mergeCell ref="B125:U126"/>
    <mergeCell ref="B127:U128"/>
    <mergeCell ref="B129:U130"/>
    <mergeCell ref="B131:U132"/>
    <mergeCell ref="B133:U133"/>
    <mergeCell ref="B134:U134"/>
    <mergeCell ref="B135:U1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2EA43-4160-45C8-A477-9A9804D169FD}">
  <sheetPr>
    <tabColor theme="4" tint="0.39997558519241921"/>
  </sheetPr>
  <dimension ref="A2:N54"/>
  <sheetViews>
    <sheetView workbookViewId="0">
      <selection activeCell="J35" sqref="J35"/>
    </sheetView>
  </sheetViews>
  <sheetFormatPr defaultRowHeight="12.5" x14ac:dyDescent="0.25"/>
  <cols>
    <col min="1" max="1" width="36.1796875" bestFit="1" customWidth="1"/>
    <col min="2" max="2" width="8.7265625" style="2"/>
    <col min="3" max="3" width="11.453125" style="2" bestFit="1" customWidth="1"/>
    <col min="4" max="4" width="8.7265625" style="2"/>
    <col min="5" max="5" width="11.453125" style="2" bestFit="1" customWidth="1"/>
    <col min="6" max="6" width="8.7265625" style="2"/>
    <col min="7" max="7" width="11.54296875" style="2" bestFit="1" customWidth="1"/>
    <col min="8" max="8" width="10.26953125" customWidth="1"/>
    <col min="9" max="9" width="59.81640625" customWidth="1"/>
    <col min="10" max="10" width="11.453125" customWidth="1"/>
    <col min="11" max="11" width="11.1796875" bestFit="1" customWidth="1"/>
    <col min="12" max="12" width="8.7265625" style="2"/>
  </cols>
  <sheetData>
    <row r="2" spans="1:14" ht="13" x14ac:dyDescent="0.3">
      <c r="A2" s="1" t="s">
        <v>0</v>
      </c>
      <c r="B2" s="62"/>
      <c r="C2" s="62" t="s">
        <v>306</v>
      </c>
      <c r="D2" s="62"/>
      <c r="E2" s="62" t="s">
        <v>312</v>
      </c>
      <c r="F2" s="62"/>
      <c r="G2" s="62" t="s">
        <v>1</v>
      </c>
      <c r="J2" s="62" t="s">
        <v>306</v>
      </c>
      <c r="L2" s="3" t="s">
        <v>313</v>
      </c>
    </row>
    <row r="3" spans="1:14" x14ac:dyDescent="0.25">
      <c r="J3" s="2"/>
    </row>
    <row r="4" spans="1:14" x14ac:dyDescent="0.25">
      <c r="A4" s="101" t="s">
        <v>2</v>
      </c>
      <c r="B4" s="7"/>
      <c r="C4" s="7">
        <f>SUM('2223 Funding Detail'!R22)</f>
        <v>34044037.127210051</v>
      </c>
      <c r="D4" s="7"/>
      <c r="E4" s="7">
        <f>'2324 Funding Detail'!AA22</f>
        <v>36243473.508919761</v>
      </c>
      <c r="F4" s="7"/>
      <c r="G4" s="7">
        <f>E4-C4</f>
        <v>2199436.3817097098</v>
      </c>
      <c r="I4" s="101"/>
      <c r="J4" s="7">
        <v>34437917.127210043</v>
      </c>
      <c r="L4" s="7">
        <f>C4-J4</f>
        <v>-393879.99999999255</v>
      </c>
    </row>
    <row r="5" spans="1:14" ht="13" x14ac:dyDescent="0.3">
      <c r="A5" s="101" t="s">
        <v>3</v>
      </c>
      <c r="B5" s="7"/>
      <c r="C5" s="7">
        <f>SUM('2223 Funding Detail'!F22)</f>
        <v>1045220</v>
      </c>
      <c r="D5" s="7"/>
      <c r="E5" s="7">
        <f>'2324 Funding Detail'!F22</f>
        <v>1182256</v>
      </c>
      <c r="F5" s="7"/>
      <c r="G5" s="7">
        <f t="shared" ref="G5:G7" si="0">E5-C5</f>
        <v>137036</v>
      </c>
      <c r="I5" s="383"/>
      <c r="J5" s="7">
        <v>1045220</v>
      </c>
      <c r="L5" s="7">
        <f t="shared" ref="L5:L26" si="1">C5-J5</f>
        <v>0</v>
      </c>
    </row>
    <row r="6" spans="1:14" x14ac:dyDescent="0.25">
      <c r="A6" s="101" t="s">
        <v>152</v>
      </c>
      <c r="B6" s="7"/>
      <c r="C6" s="7">
        <f>SUM('2223 Funding Detail'!G22)</f>
        <v>568580</v>
      </c>
      <c r="D6" s="7"/>
      <c r="E6" s="7">
        <f>'2324 Funding Detail'!G22</f>
        <v>1084343.2</v>
      </c>
      <c r="F6" s="7"/>
      <c r="G6" s="7">
        <f t="shared" si="0"/>
        <v>515763.19999999995</v>
      </c>
      <c r="I6" s="101"/>
      <c r="J6" s="7">
        <v>174700</v>
      </c>
      <c r="L6" s="7">
        <f t="shared" si="1"/>
        <v>393880</v>
      </c>
    </row>
    <row r="7" spans="1:14" ht="13" x14ac:dyDescent="0.3">
      <c r="A7" s="150" t="s">
        <v>307</v>
      </c>
      <c r="B7" s="7"/>
      <c r="C7" s="7">
        <f>-'2324 OLEA Placements'!F60</f>
        <v>-640834.69626913476</v>
      </c>
      <c r="D7" s="7"/>
      <c r="E7" s="7">
        <f>-'2324 OLEA Placements'!F23</f>
        <v>-724024.01184174861</v>
      </c>
      <c r="F7" s="7"/>
      <c r="G7" s="7">
        <f t="shared" si="0"/>
        <v>-83189.31557261385</v>
      </c>
      <c r="I7" s="101"/>
      <c r="J7" s="7">
        <v>-673154.87242403429</v>
      </c>
      <c r="L7" s="7">
        <f t="shared" si="1"/>
        <v>32320.176154899527</v>
      </c>
    </row>
    <row r="8" spans="1:14" ht="13" x14ac:dyDescent="0.3">
      <c r="A8" s="150"/>
      <c r="B8" s="149"/>
      <c r="C8" s="149">
        <f>SUM(C4:C7)</f>
        <v>35017002.430940919</v>
      </c>
      <c r="D8" s="149"/>
      <c r="E8" s="149">
        <f>SUM(E4:E7)</f>
        <v>37786048.697078012</v>
      </c>
      <c r="F8" s="149"/>
      <c r="G8" s="149">
        <f>SUM(G4:G7)</f>
        <v>2769046.2661370961</v>
      </c>
      <c r="I8" s="389"/>
      <c r="J8" s="149">
        <v>34984682.254786007</v>
      </c>
      <c r="K8" s="7"/>
      <c r="L8" s="7">
        <f t="shared" si="1"/>
        <v>32320.176154911518</v>
      </c>
    </row>
    <row r="9" spans="1:14" x14ac:dyDescent="0.25">
      <c r="B9" s="7"/>
      <c r="D9" s="7"/>
      <c r="E9" s="7"/>
      <c r="F9" s="7"/>
      <c r="G9" s="7"/>
      <c r="I9" s="101"/>
      <c r="J9" s="2"/>
      <c r="L9" s="7"/>
    </row>
    <row r="10" spans="1:14" x14ac:dyDescent="0.25">
      <c r="A10" s="101" t="s">
        <v>4</v>
      </c>
      <c r="B10" s="7"/>
      <c r="C10" s="7">
        <f>'2324 Other Funding'!M26</f>
        <v>757936</v>
      </c>
      <c r="D10" s="7"/>
      <c r="E10" s="7">
        <f>'2324 Other Funding'!M26</f>
        <v>757936</v>
      </c>
      <c r="F10" s="7"/>
      <c r="G10" s="7">
        <f t="shared" ref="G10:G14" si="2">E10-C10</f>
        <v>0</v>
      </c>
      <c r="I10" s="101"/>
      <c r="J10" s="7">
        <v>757936</v>
      </c>
      <c r="L10" s="7">
        <f t="shared" si="1"/>
        <v>0</v>
      </c>
    </row>
    <row r="11" spans="1:14" ht="13" x14ac:dyDescent="0.3">
      <c r="A11" s="383" t="s">
        <v>308</v>
      </c>
      <c r="B11" s="376"/>
      <c r="C11" s="376"/>
      <c r="D11" s="376"/>
      <c r="E11" s="376"/>
      <c r="F11" s="376"/>
      <c r="G11" s="7">
        <f t="shared" si="2"/>
        <v>0</v>
      </c>
      <c r="H11" s="383"/>
      <c r="I11" s="383"/>
      <c r="J11" s="376"/>
      <c r="K11" s="150"/>
      <c r="L11" s="7"/>
      <c r="M11" s="150"/>
      <c r="N11" s="150"/>
    </row>
    <row r="12" spans="1:14" x14ac:dyDescent="0.25">
      <c r="A12" s="101" t="s">
        <v>5</v>
      </c>
      <c r="B12" s="7"/>
      <c r="C12" s="7">
        <f>'2324 Other Funding'!L26</f>
        <v>317322</v>
      </c>
      <c r="D12" s="7"/>
      <c r="E12" s="7">
        <f>'2324 Other Funding'!S26</f>
        <v>317322</v>
      </c>
      <c r="F12" s="7"/>
      <c r="G12" s="7">
        <f t="shared" si="2"/>
        <v>0</v>
      </c>
      <c r="I12" s="101"/>
      <c r="J12" s="7">
        <v>317322</v>
      </c>
      <c r="L12" s="7">
        <f t="shared" si="1"/>
        <v>0</v>
      </c>
    </row>
    <row r="13" spans="1:14" ht="13" x14ac:dyDescent="0.3">
      <c r="A13" s="383" t="s">
        <v>309</v>
      </c>
      <c r="B13" s="7"/>
      <c r="C13" s="102"/>
      <c r="D13" s="7"/>
      <c r="E13" s="102"/>
      <c r="F13" s="7"/>
      <c r="G13" s="7">
        <f t="shared" si="2"/>
        <v>0</v>
      </c>
      <c r="I13" s="58" t="s">
        <v>314</v>
      </c>
      <c r="J13" s="102"/>
      <c r="L13" s="7"/>
    </row>
    <row r="14" spans="1:14" ht="13" x14ac:dyDescent="0.3">
      <c r="A14" s="101" t="s">
        <v>6</v>
      </c>
      <c r="B14" s="7"/>
      <c r="C14" s="7">
        <f>'2324 Other Funding'!N26</f>
        <v>536951</v>
      </c>
      <c r="D14" s="7"/>
      <c r="E14" s="7">
        <f>'2324 Other Funding'!N26</f>
        <v>536951</v>
      </c>
      <c r="F14" s="7"/>
      <c r="G14" s="7">
        <f t="shared" si="2"/>
        <v>0</v>
      </c>
      <c r="I14" s="383"/>
      <c r="J14" s="7">
        <v>536951</v>
      </c>
      <c r="L14" s="7">
        <f t="shared" si="1"/>
        <v>0</v>
      </c>
    </row>
    <row r="15" spans="1:14" ht="13" x14ac:dyDescent="0.3">
      <c r="A15" s="101"/>
      <c r="B15" s="149"/>
      <c r="C15" s="149">
        <f t="shared" ref="C15:G15" si="3">SUM(C10:C14)</f>
        <v>1612209</v>
      </c>
      <c r="D15" s="149"/>
      <c r="E15" s="149">
        <f t="shared" si="3"/>
        <v>1612209</v>
      </c>
      <c r="F15" s="149"/>
      <c r="G15" s="149">
        <f t="shared" si="3"/>
        <v>0</v>
      </c>
      <c r="I15" s="383"/>
      <c r="J15" s="149">
        <v>1612209</v>
      </c>
      <c r="L15" s="7">
        <f t="shared" si="1"/>
        <v>0</v>
      </c>
    </row>
    <row r="16" spans="1:14" ht="13" x14ac:dyDescent="0.3">
      <c r="A16" s="101"/>
      <c r="B16" s="7"/>
      <c r="C16" s="7"/>
      <c r="D16" s="7"/>
      <c r="E16" s="7"/>
      <c r="F16" s="7"/>
      <c r="G16" s="7"/>
      <c r="I16" s="383"/>
      <c r="J16" s="7"/>
      <c r="L16" s="7"/>
    </row>
    <row r="17" spans="1:12" ht="13.5" thickBot="1" x14ac:dyDescent="0.35">
      <c r="A17" s="101"/>
      <c r="B17" s="390"/>
      <c r="C17" s="390">
        <f>C8+C15</f>
        <v>36629211.430940919</v>
      </c>
      <c r="D17" s="390"/>
      <c r="E17" s="390">
        <f>E8+E15</f>
        <v>39398257.697078012</v>
      </c>
      <c r="F17" s="390"/>
      <c r="G17" s="390">
        <f t="shared" ref="G17" si="4">G8+G15</f>
        <v>2769046.2661370961</v>
      </c>
      <c r="I17" s="383"/>
      <c r="J17" s="390">
        <v>36596891.254786007</v>
      </c>
      <c r="L17" s="7">
        <f t="shared" si="1"/>
        <v>32320.176154911518</v>
      </c>
    </row>
    <row r="18" spans="1:12" ht="13" x14ac:dyDescent="0.3">
      <c r="A18" s="101"/>
      <c r="B18" s="7"/>
      <c r="C18" s="7"/>
      <c r="D18" s="7"/>
      <c r="E18" s="7"/>
      <c r="F18" s="7"/>
      <c r="G18" s="7"/>
      <c r="I18" s="383"/>
      <c r="J18" s="7"/>
      <c r="L18" s="7"/>
    </row>
    <row r="19" spans="1:12" ht="13" x14ac:dyDescent="0.3">
      <c r="A19" s="101" t="s">
        <v>303</v>
      </c>
      <c r="B19" s="7"/>
      <c r="C19" s="7">
        <v>235160</v>
      </c>
      <c r="D19" s="7"/>
      <c r="E19" s="7">
        <v>450000</v>
      </c>
      <c r="F19" s="7"/>
      <c r="G19" s="7">
        <f t="shared" ref="G19:G21" si="5">E19-C19</f>
        <v>214840</v>
      </c>
      <c r="I19" s="383" t="s">
        <v>315</v>
      </c>
      <c r="J19" s="7">
        <v>235160</v>
      </c>
      <c r="L19" s="7">
        <f t="shared" si="1"/>
        <v>0</v>
      </c>
    </row>
    <row r="20" spans="1:12" ht="13" x14ac:dyDescent="0.3">
      <c r="A20" s="101" t="s">
        <v>304</v>
      </c>
      <c r="B20" s="7"/>
      <c r="C20" s="7">
        <v>70000</v>
      </c>
      <c r="D20" s="7"/>
      <c r="E20" s="7">
        <v>110000</v>
      </c>
      <c r="F20" s="7"/>
      <c r="G20" s="7">
        <f t="shared" si="5"/>
        <v>40000</v>
      </c>
      <c r="I20" s="383" t="s">
        <v>316</v>
      </c>
      <c r="J20" s="7">
        <v>70000</v>
      </c>
      <c r="L20" s="7">
        <f t="shared" si="1"/>
        <v>0</v>
      </c>
    </row>
    <row r="21" spans="1:12" ht="13" x14ac:dyDescent="0.3">
      <c r="A21" s="101" t="s">
        <v>208</v>
      </c>
      <c r="B21" s="7"/>
      <c r="C21" s="7">
        <v>0</v>
      </c>
      <c r="D21" s="7"/>
      <c r="E21" s="7">
        <v>1287971</v>
      </c>
      <c r="F21" s="7"/>
      <c r="G21" s="7">
        <f t="shared" si="5"/>
        <v>1287971</v>
      </c>
      <c r="I21" s="383"/>
      <c r="J21" s="7"/>
      <c r="L21" s="7"/>
    </row>
    <row r="22" spans="1:12" ht="13" x14ac:dyDescent="0.3">
      <c r="A22" s="101"/>
      <c r="B22" s="7"/>
      <c r="C22" s="7"/>
      <c r="D22" s="7"/>
      <c r="E22" s="7"/>
      <c r="F22" s="7"/>
      <c r="G22" s="24"/>
      <c r="J22" s="7"/>
      <c r="L22" s="7"/>
    </row>
    <row r="23" spans="1:12" ht="13" x14ac:dyDescent="0.3">
      <c r="A23" s="60" t="s">
        <v>276</v>
      </c>
      <c r="B23" s="24"/>
      <c r="C23" s="24">
        <f>C17+C19+C20</f>
        <v>36934371.430940919</v>
      </c>
      <c r="D23" s="24"/>
      <c r="E23" s="24">
        <f>E17+E19+E20+E21</f>
        <v>41246228.697078012</v>
      </c>
      <c r="F23" s="24"/>
      <c r="G23" s="24">
        <f>E23-C23</f>
        <v>4311857.2661370933</v>
      </c>
      <c r="I23" s="59"/>
      <c r="J23" s="24">
        <v>36902051.254786007</v>
      </c>
      <c r="L23" s="7">
        <f t="shared" si="1"/>
        <v>32320.176154911518</v>
      </c>
    </row>
    <row r="24" spans="1:12" ht="13" x14ac:dyDescent="0.3">
      <c r="A24" s="60"/>
      <c r="B24" s="24"/>
      <c r="C24" s="24"/>
      <c r="D24" s="24"/>
      <c r="E24" s="24"/>
      <c r="F24" s="24"/>
      <c r="G24" s="24"/>
      <c r="I24" s="59"/>
      <c r="J24" s="24"/>
      <c r="L24" s="7"/>
    </row>
    <row r="25" spans="1:12" ht="13" x14ac:dyDescent="0.3">
      <c r="A25" s="384" t="s">
        <v>310</v>
      </c>
      <c r="B25" s="24"/>
      <c r="C25" s="108">
        <f>'2223 Funding Detail'!V22</f>
        <v>20870000</v>
      </c>
      <c r="D25" s="24"/>
      <c r="E25" s="108">
        <f>'2324 Funding Detail'!V22</f>
        <v>21845833.333333332</v>
      </c>
      <c r="F25" s="24"/>
      <c r="G25" s="7">
        <f t="shared" ref="G25:G26" si="6">E25-C25</f>
        <v>975833.33333333209</v>
      </c>
      <c r="I25" s="383"/>
      <c r="J25" s="108">
        <v>20870000</v>
      </c>
      <c r="L25" s="7">
        <f t="shared" si="1"/>
        <v>0</v>
      </c>
    </row>
    <row r="26" spans="1:12" ht="13" x14ac:dyDescent="0.3">
      <c r="A26" s="384" t="s">
        <v>311</v>
      </c>
      <c r="B26" s="24"/>
      <c r="C26" s="108">
        <f>C23-C25</f>
        <v>16064371.430940919</v>
      </c>
      <c r="D26" s="24"/>
      <c r="E26" s="108">
        <f>E23-E25</f>
        <v>19400395.36374468</v>
      </c>
      <c r="F26" s="24"/>
      <c r="G26" s="7">
        <f t="shared" si="6"/>
        <v>3336023.9328037612</v>
      </c>
      <c r="I26" s="59"/>
      <c r="J26" s="108">
        <v>16032051.254786007</v>
      </c>
      <c r="L26" s="7">
        <f t="shared" si="1"/>
        <v>32320.176154911518</v>
      </c>
    </row>
    <row r="27" spans="1:12" x14ac:dyDescent="0.25">
      <c r="C27" s="7"/>
    </row>
    <row r="28" spans="1:12" x14ac:dyDescent="0.25">
      <c r="A28" s="101"/>
      <c r="C28" s="7"/>
      <c r="G28" s="7"/>
    </row>
    <row r="32" spans="1:12" ht="13" x14ac:dyDescent="0.3">
      <c r="A32" s="59" t="s">
        <v>317</v>
      </c>
    </row>
    <row r="33" spans="1:10" x14ac:dyDescent="0.25">
      <c r="A33" t="s">
        <v>2</v>
      </c>
      <c r="C33" s="7">
        <v>34044037.127210051</v>
      </c>
      <c r="D33" s="7"/>
      <c r="E33" s="7">
        <v>35015259.701641656</v>
      </c>
      <c r="F33" s="7"/>
      <c r="G33" s="7">
        <v>971222.57443160564</v>
      </c>
      <c r="H33" s="61">
        <f>G4-G33</f>
        <v>1228213.8072781041</v>
      </c>
    </row>
    <row r="34" spans="1:10" x14ac:dyDescent="0.25">
      <c r="A34" t="s">
        <v>3</v>
      </c>
      <c r="C34" s="7">
        <v>1045220</v>
      </c>
      <c r="D34" s="7"/>
      <c r="E34" s="7">
        <v>1045220</v>
      </c>
      <c r="F34" s="7"/>
      <c r="G34" s="7">
        <v>0</v>
      </c>
      <c r="H34" s="61">
        <f>G5-G34</f>
        <v>137036</v>
      </c>
    </row>
    <row r="35" spans="1:10" x14ac:dyDescent="0.25">
      <c r="A35" t="s">
        <v>152</v>
      </c>
      <c r="C35" s="7">
        <v>568580</v>
      </c>
      <c r="D35" s="7"/>
      <c r="E35" s="7">
        <v>516840</v>
      </c>
      <c r="F35" s="7"/>
      <c r="G35" s="7">
        <v>-51740</v>
      </c>
      <c r="H35" s="61">
        <f>G6-G35</f>
        <v>567503.19999999995</v>
      </c>
      <c r="I35" s="61">
        <f>SUM(H33:H35)</f>
        <v>1932753.0072781041</v>
      </c>
      <c r="J35" t="s">
        <v>318</v>
      </c>
    </row>
    <row r="36" spans="1:10" x14ac:dyDescent="0.25">
      <c r="A36" t="s">
        <v>307</v>
      </c>
      <c r="C36" s="7">
        <v>-640834.69626913476</v>
      </c>
      <c r="D36" s="7"/>
      <c r="E36" s="7">
        <v>-665089.1033197802</v>
      </c>
      <c r="F36" s="7"/>
      <c r="G36" s="7">
        <v>-24254.407050645445</v>
      </c>
      <c r="H36" s="61">
        <f>G7-G36</f>
        <v>-58934.908521968406</v>
      </c>
    </row>
    <row r="37" spans="1:10" x14ac:dyDescent="0.25">
      <c r="C37" s="7">
        <v>35017002.430940919</v>
      </c>
      <c r="D37" s="7"/>
      <c r="E37" s="7">
        <v>35912230.598321877</v>
      </c>
      <c r="F37" s="7"/>
      <c r="G37" s="7">
        <v>895228.16738096019</v>
      </c>
      <c r="H37" s="61">
        <f>G8-G37</f>
        <v>1873818.0987561359</v>
      </c>
    </row>
    <row r="38" spans="1:10" x14ac:dyDescent="0.25">
      <c r="C38" s="7"/>
      <c r="D38" s="7"/>
      <c r="E38" s="7"/>
      <c r="F38" s="7"/>
      <c r="G38" s="7"/>
    </row>
    <row r="39" spans="1:10" x14ac:dyDescent="0.25">
      <c r="A39" t="s">
        <v>4</v>
      </c>
      <c r="C39" s="7">
        <v>757936</v>
      </c>
      <c r="D39" s="7"/>
      <c r="E39" s="7">
        <v>757936</v>
      </c>
      <c r="F39" s="7"/>
      <c r="G39" s="7">
        <v>0</v>
      </c>
    </row>
    <row r="40" spans="1:10" x14ac:dyDescent="0.25">
      <c r="A40" t="s">
        <v>308</v>
      </c>
      <c r="C40" s="7"/>
      <c r="D40" s="7"/>
      <c r="E40" s="7"/>
      <c r="F40" s="7"/>
      <c r="G40" s="7">
        <v>0</v>
      </c>
    </row>
    <row r="41" spans="1:10" x14ac:dyDescent="0.25">
      <c r="A41" t="s">
        <v>5</v>
      </c>
      <c r="C41" s="7">
        <v>317322</v>
      </c>
      <c r="D41" s="7"/>
      <c r="E41" s="7">
        <v>132217.5</v>
      </c>
      <c r="F41" s="7"/>
      <c r="G41" s="7">
        <v>-185104.5</v>
      </c>
    </row>
    <row r="42" spans="1:10" x14ac:dyDescent="0.25">
      <c r="A42" t="s">
        <v>309</v>
      </c>
      <c r="C42" s="7"/>
      <c r="D42" s="7"/>
      <c r="E42" s="7">
        <v>185104.5</v>
      </c>
      <c r="F42" s="7"/>
      <c r="G42" s="7">
        <v>185104.5</v>
      </c>
    </row>
    <row r="43" spans="1:10" x14ac:dyDescent="0.25">
      <c r="A43" t="s">
        <v>6</v>
      </c>
      <c r="C43" s="7">
        <v>536951</v>
      </c>
      <c r="D43" s="7"/>
      <c r="E43" s="7">
        <v>536951</v>
      </c>
      <c r="F43" s="7"/>
      <c r="G43" s="7">
        <v>0</v>
      </c>
    </row>
    <row r="44" spans="1:10" x14ac:dyDescent="0.25">
      <c r="C44" s="7">
        <v>1612209</v>
      </c>
      <c r="D44" s="7"/>
      <c r="E44" s="7">
        <v>1612209</v>
      </c>
      <c r="F44" s="7"/>
      <c r="G44" s="7">
        <v>0</v>
      </c>
    </row>
    <row r="45" spans="1:10" x14ac:dyDescent="0.25">
      <c r="C45" s="7"/>
      <c r="D45" s="7"/>
      <c r="E45" s="7"/>
      <c r="F45" s="7"/>
      <c r="G45" s="7"/>
    </row>
    <row r="46" spans="1:10" x14ac:dyDescent="0.25">
      <c r="C46" s="7">
        <v>36629211.430940919</v>
      </c>
      <c r="D46" s="7"/>
      <c r="E46" s="7">
        <v>37524439.598321877</v>
      </c>
      <c r="F46" s="7"/>
      <c r="G46" s="7">
        <v>895228.16738096019</v>
      </c>
    </row>
    <row r="47" spans="1:10" x14ac:dyDescent="0.25">
      <c r="C47" s="7"/>
      <c r="D47" s="7"/>
      <c r="E47" s="7"/>
      <c r="F47" s="7"/>
      <c r="G47" s="7"/>
    </row>
    <row r="48" spans="1:10" x14ac:dyDescent="0.25">
      <c r="A48" t="s">
        <v>303</v>
      </c>
      <c r="C48" s="7">
        <v>235160</v>
      </c>
      <c r="D48" s="7"/>
      <c r="E48" s="7">
        <v>450000</v>
      </c>
      <c r="F48" s="7"/>
      <c r="G48" s="7">
        <v>214840</v>
      </c>
    </row>
    <row r="49" spans="1:7" x14ac:dyDescent="0.25">
      <c r="A49" t="s">
        <v>304</v>
      </c>
      <c r="C49" s="7">
        <v>70000</v>
      </c>
      <c r="D49" s="7"/>
      <c r="E49" s="7">
        <v>110000</v>
      </c>
      <c r="F49" s="7"/>
      <c r="G49" s="7">
        <v>40000</v>
      </c>
    </row>
    <row r="50" spans="1:7" x14ac:dyDescent="0.25">
      <c r="C50" s="7"/>
      <c r="D50" s="7"/>
      <c r="E50" s="7"/>
      <c r="F50" s="7"/>
      <c r="G50" s="7"/>
    </row>
    <row r="51" spans="1:7" x14ac:dyDescent="0.25">
      <c r="A51" t="s">
        <v>276</v>
      </c>
      <c r="C51" s="7">
        <v>36934371.430940919</v>
      </c>
      <c r="D51" s="7"/>
      <c r="E51" s="7">
        <v>38084439.598321877</v>
      </c>
      <c r="F51" s="7"/>
      <c r="G51" s="7">
        <v>1150068.1673809588</v>
      </c>
    </row>
    <row r="52" spans="1:7" x14ac:dyDescent="0.25">
      <c r="C52" s="7"/>
      <c r="D52" s="7"/>
      <c r="E52" s="7"/>
      <c r="F52" s="7"/>
      <c r="G52" s="7"/>
    </row>
    <row r="53" spans="1:7" x14ac:dyDescent="0.25">
      <c r="A53" t="s">
        <v>310</v>
      </c>
      <c r="C53" s="7">
        <v>20870000</v>
      </c>
      <c r="D53" s="7"/>
      <c r="E53" s="7">
        <v>21840000</v>
      </c>
      <c r="F53" s="7"/>
      <c r="G53" s="7">
        <v>970000</v>
      </c>
    </row>
    <row r="54" spans="1:7" x14ac:dyDescent="0.25">
      <c r="A54" t="s">
        <v>311</v>
      </c>
      <c r="C54" s="7">
        <v>16064371.430940919</v>
      </c>
      <c r="D54" s="7"/>
      <c r="E54" s="7">
        <v>16244439.598321877</v>
      </c>
      <c r="F54" s="7"/>
      <c r="G54" s="7">
        <v>180068.1673809588</v>
      </c>
    </row>
  </sheetData>
  <pageMargins left="0.7" right="0.7" top="0.75" bottom="0.75" header="0.3" footer="0.3"/>
  <pageSetup orientation="portrait" horizontalDpi="90" verticalDpi="9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C1FD1-EB86-443F-AA36-43ECAF01A6E4}">
  <sheetPr>
    <tabColor rgb="FFFFC000"/>
  </sheetPr>
  <dimension ref="A2:N56"/>
  <sheetViews>
    <sheetView workbookViewId="0">
      <selection activeCell="I7" sqref="I7"/>
    </sheetView>
  </sheetViews>
  <sheetFormatPr defaultRowHeight="12.5" x14ac:dyDescent="0.25"/>
  <cols>
    <col min="1" max="1" width="36.1796875" bestFit="1" customWidth="1"/>
    <col min="2" max="2" width="8.7265625" style="2"/>
    <col min="3" max="3" width="11.453125" style="2" bestFit="1" customWidth="1"/>
    <col min="4" max="4" width="8.7265625" style="2"/>
    <col min="5" max="5" width="11.453125" style="2" bestFit="1" customWidth="1"/>
    <col min="6" max="6" width="8.7265625" style="2"/>
    <col min="7" max="7" width="11.54296875" style="2" bestFit="1" customWidth="1"/>
    <col min="8" max="8" width="10.26953125" customWidth="1"/>
    <col min="9" max="9" width="59.81640625" customWidth="1"/>
  </cols>
  <sheetData>
    <row r="2" spans="1:11" ht="13" x14ac:dyDescent="0.3">
      <c r="A2" s="1" t="s">
        <v>0</v>
      </c>
      <c r="B2" s="62"/>
      <c r="C2" s="62" t="s">
        <v>312</v>
      </c>
      <c r="D2" s="62"/>
      <c r="E2" s="62" t="s">
        <v>890</v>
      </c>
      <c r="F2" s="62"/>
      <c r="G2" s="62" t="s">
        <v>1</v>
      </c>
    </row>
    <row r="4" spans="1:11" x14ac:dyDescent="0.25">
      <c r="A4" s="101" t="s">
        <v>2</v>
      </c>
      <c r="B4" s="7"/>
      <c r="C4" s="7">
        <f>SUM('2324 Funding Detail'!R22)</f>
        <v>36243473.508919761</v>
      </c>
      <c r="D4" s="7"/>
      <c r="E4" s="7">
        <f>'2425 Funding Detail'!Z22</f>
        <v>40111941.525739156</v>
      </c>
      <c r="F4" s="7"/>
      <c r="G4" s="7">
        <f>E4-C4</f>
        <v>3868468.0168193951</v>
      </c>
      <c r="I4" s="101"/>
    </row>
    <row r="5" spans="1:11" ht="13" x14ac:dyDescent="0.3">
      <c r="A5" s="101" t="s">
        <v>3</v>
      </c>
      <c r="B5" s="7"/>
      <c r="C5" s="7">
        <f>SUM('2324 Funding Detail'!F22)</f>
        <v>1182256</v>
      </c>
      <c r="D5" s="7"/>
      <c r="E5" s="7">
        <f>'2425 Funding Detail'!F22</f>
        <v>1230985</v>
      </c>
      <c r="F5" s="7"/>
      <c r="G5" s="7">
        <f t="shared" ref="G5:G7" si="0">E5-C5</f>
        <v>48729</v>
      </c>
      <c r="I5" s="383"/>
    </row>
    <row r="6" spans="1:11" x14ac:dyDescent="0.25">
      <c r="A6" s="101" t="s">
        <v>152</v>
      </c>
      <c r="B6" s="7"/>
      <c r="C6" s="7">
        <f>SUM('2324 Funding Detail'!G22)</f>
        <v>1084343.2</v>
      </c>
      <c r="D6" s="7"/>
      <c r="E6" s="7">
        <f>'2425 Funding Detail'!G22</f>
        <v>1048248</v>
      </c>
      <c r="F6" s="7"/>
      <c r="G6" s="7">
        <f t="shared" si="0"/>
        <v>-36095.199999999953</v>
      </c>
      <c r="I6" s="101"/>
    </row>
    <row r="7" spans="1:11" ht="13" x14ac:dyDescent="0.3">
      <c r="A7" s="150" t="s">
        <v>307</v>
      </c>
      <c r="B7" s="7"/>
      <c r="C7" s="7">
        <f>-'2324 OLEA Placements'!F23</f>
        <v>-724024.01184174861</v>
      </c>
      <c r="D7" s="7"/>
      <c r="E7" s="7">
        <f>-'2425 OLEA Placements'!F23</f>
        <v>-857243.23164728913</v>
      </c>
      <c r="F7" s="7"/>
      <c r="G7" s="7">
        <f t="shared" si="0"/>
        <v>-133219.21980554052</v>
      </c>
      <c r="I7" s="101"/>
    </row>
    <row r="8" spans="1:11" ht="13" x14ac:dyDescent="0.3">
      <c r="A8" s="150"/>
      <c r="B8" s="149"/>
      <c r="C8" s="149">
        <f>SUM(C4:C7)</f>
        <v>37786048.697078012</v>
      </c>
      <c r="D8" s="149"/>
      <c r="E8" s="149">
        <f>SUM(E4:E7)</f>
        <v>41533931.294091865</v>
      </c>
      <c r="F8" s="149"/>
      <c r="G8" s="149">
        <f>SUM(G4:G7)</f>
        <v>3747882.5970138544</v>
      </c>
      <c r="I8" s="389">
        <f>(E8-C8)/C8</f>
        <v>9.9186941377749208E-2</v>
      </c>
    </row>
    <row r="9" spans="1:11" x14ac:dyDescent="0.25">
      <c r="B9" s="7"/>
      <c r="D9" s="7"/>
      <c r="E9" s="7"/>
      <c r="F9" s="7"/>
      <c r="G9" s="7"/>
      <c r="I9" s="101"/>
    </row>
    <row r="10" spans="1:11" x14ac:dyDescent="0.25">
      <c r="A10" s="101" t="s">
        <v>4</v>
      </c>
      <c r="B10" s="7"/>
      <c r="C10" s="7">
        <f>'2324 Other Funding'!T26</f>
        <v>757936</v>
      </c>
      <c r="D10" s="7"/>
      <c r="E10" s="7">
        <f>'2425 Other Funding'!E24</f>
        <v>757936</v>
      </c>
      <c r="F10" s="7"/>
      <c r="G10" s="7">
        <f t="shared" ref="G10:G14" si="1">E10-C10</f>
        <v>0</v>
      </c>
      <c r="I10" s="101"/>
    </row>
    <row r="11" spans="1:11" ht="13" x14ac:dyDescent="0.3">
      <c r="A11" s="383" t="s">
        <v>308</v>
      </c>
      <c r="B11" s="376"/>
      <c r="C11" s="376"/>
      <c r="D11" s="376"/>
      <c r="E11" s="376">
        <v>20000</v>
      </c>
      <c r="F11" s="376"/>
      <c r="G11" s="102">
        <f t="shared" si="1"/>
        <v>20000</v>
      </c>
      <c r="H11" s="383"/>
      <c r="I11" s="927" t="s">
        <v>1051</v>
      </c>
      <c r="J11" s="150"/>
      <c r="K11" s="150"/>
    </row>
    <row r="12" spans="1:11" x14ac:dyDescent="0.25">
      <c r="A12" s="101" t="s">
        <v>5</v>
      </c>
      <c r="B12" s="7"/>
      <c r="C12" s="7">
        <f>'2324 Other Funding'!S26</f>
        <v>317322</v>
      </c>
      <c r="D12" s="7"/>
      <c r="E12" s="7">
        <f>'2425 Other Funding'!D24</f>
        <v>370270</v>
      </c>
      <c r="F12" s="7"/>
      <c r="G12" s="7">
        <f t="shared" si="1"/>
        <v>52948</v>
      </c>
      <c r="I12" s="101"/>
    </row>
    <row r="13" spans="1:11" ht="13" x14ac:dyDescent="0.3">
      <c r="A13" s="383" t="s">
        <v>309</v>
      </c>
      <c r="B13" s="7"/>
      <c r="C13" s="102"/>
      <c r="D13" s="7"/>
      <c r="E13" s="102"/>
      <c r="F13" s="7"/>
      <c r="G13" s="7"/>
      <c r="I13" s="58"/>
    </row>
    <row r="14" spans="1:11" ht="13" x14ac:dyDescent="0.3">
      <c r="A14" s="101" t="s">
        <v>6</v>
      </c>
      <c r="B14" s="7"/>
      <c r="C14" s="7">
        <f>'2324 Other Funding'!U26</f>
        <v>536951</v>
      </c>
      <c r="D14" s="7"/>
      <c r="E14" s="7">
        <f>'2425 Other Funding'!F24</f>
        <v>0</v>
      </c>
      <c r="F14" s="7"/>
      <c r="G14" s="7">
        <f t="shared" si="1"/>
        <v>-536951</v>
      </c>
      <c r="I14" s="383"/>
    </row>
    <row r="15" spans="1:11" ht="13" x14ac:dyDescent="0.3">
      <c r="A15" s="101"/>
      <c r="B15" s="149"/>
      <c r="C15" s="149">
        <f t="shared" ref="C15:G15" si="2">SUM(C10:C14)</f>
        <v>1612209</v>
      </c>
      <c r="D15" s="149"/>
      <c r="E15" s="149">
        <f t="shared" si="2"/>
        <v>1148206</v>
      </c>
      <c r="F15" s="149"/>
      <c r="G15" s="149">
        <f t="shared" si="2"/>
        <v>-464003</v>
      </c>
      <c r="I15" s="383"/>
    </row>
    <row r="16" spans="1:11" ht="13" x14ac:dyDescent="0.3">
      <c r="A16" s="101"/>
      <c r="B16" s="7"/>
      <c r="C16" s="7"/>
      <c r="D16" s="7"/>
      <c r="E16" s="7"/>
      <c r="F16" s="7"/>
      <c r="G16" s="7"/>
      <c r="I16" s="383"/>
    </row>
    <row r="17" spans="1:9" ht="13.5" thickBot="1" x14ac:dyDescent="0.35">
      <c r="A17" s="101"/>
      <c r="B17" s="390"/>
      <c r="C17" s="390">
        <f>C8+C15</f>
        <v>39398257.697078012</v>
      </c>
      <c r="D17" s="390"/>
      <c r="E17" s="390">
        <f>E8+E15</f>
        <v>42682137.294091865</v>
      </c>
      <c r="F17" s="390"/>
      <c r="G17" s="390">
        <f t="shared" ref="G17" si="3">G8+G15</f>
        <v>3283879.5970138544</v>
      </c>
      <c r="I17" s="383"/>
    </row>
    <row r="18" spans="1:9" ht="13" x14ac:dyDescent="0.3">
      <c r="A18" s="101"/>
      <c r="B18" s="7"/>
      <c r="C18" s="7"/>
      <c r="D18" s="7"/>
      <c r="E18" s="7"/>
      <c r="F18" s="7"/>
      <c r="G18" s="7"/>
      <c r="I18" s="383"/>
    </row>
    <row r="19" spans="1:9" ht="13" x14ac:dyDescent="0.3">
      <c r="A19" s="101" t="s">
        <v>303</v>
      </c>
      <c r="B19" s="7"/>
      <c r="C19" s="7">
        <v>450000</v>
      </c>
      <c r="D19" s="7"/>
      <c r="E19" s="7">
        <v>500000</v>
      </c>
      <c r="F19" s="7"/>
      <c r="G19" s="7">
        <f t="shared" ref="G19:G22" si="4">E19-C19</f>
        <v>50000</v>
      </c>
      <c r="I19" s="383"/>
    </row>
    <row r="20" spans="1:9" ht="13" x14ac:dyDescent="0.3">
      <c r="A20" s="101" t="s">
        <v>304</v>
      </c>
      <c r="B20" s="7"/>
      <c r="C20" s="7">
        <v>110000</v>
      </c>
      <c r="D20" s="7"/>
      <c r="E20" s="7">
        <v>160000</v>
      </c>
      <c r="F20" s="7"/>
      <c r="G20" s="7">
        <f t="shared" si="4"/>
        <v>50000</v>
      </c>
      <c r="I20" s="383"/>
    </row>
    <row r="21" spans="1:9" ht="13" x14ac:dyDescent="0.3">
      <c r="A21" s="101" t="s">
        <v>208</v>
      </c>
      <c r="B21" s="7"/>
      <c r="C21" s="7">
        <v>1287971</v>
      </c>
      <c r="D21" s="7"/>
      <c r="E21" s="7">
        <f>'2425 3.4% Allocations'!S49</f>
        <v>1333468.7959386415</v>
      </c>
      <c r="F21" s="7"/>
      <c r="G21" s="7">
        <f t="shared" si="4"/>
        <v>45497.795938641531</v>
      </c>
      <c r="I21" s="383"/>
    </row>
    <row r="22" spans="1:9" x14ac:dyDescent="0.25">
      <c r="A22" s="101" t="s">
        <v>1098</v>
      </c>
      <c r="B22" s="7"/>
      <c r="C22" s="7"/>
      <c r="D22" s="7"/>
      <c r="E22" s="7"/>
      <c r="F22" s="7"/>
      <c r="G22" s="7">
        <f t="shared" si="4"/>
        <v>0</v>
      </c>
    </row>
    <row r="23" spans="1:9" ht="13" x14ac:dyDescent="0.3">
      <c r="A23" s="60" t="s">
        <v>276</v>
      </c>
      <c r="B23" s="24"/>
      <c r="C23" s="24">
        <f>C17+C19+C20+C21+C22</f>
        <v>41246228.697078012</v>
      </c>
      <c r="D23" s="24"/>
      <c r="E23" s="24">
        <f>E17+E19+E20+E21+E22</f>
        <v>44675606.090030506</v>
      </c>
      <c r="F23" s="24"/>
      <c r="G23" s="24">
        <f t="shared" ref="G23" si="5">G17+G19+G20+G21+G22</f>
        <v>3429377.3929524962</v>
      </c>
      <c r="I23" s="59"/>
    </row>
    <row r="24" spans="1:9" ht="13" x14ac:dyDescent="0.3">
      <c r="A24" s="60"/>
      <c r="B24" s="24"/>
      <c r="C24" s="24"/>
      <c r="D24" s="24"/>
      <c r="E24" s="24"/>
      <c r="F24" s="24"/>
      <c r="G24" s="24"/>
      <c r="I24" s="59"/>
    </row>
    <row r="25" spans="1:9" ht="13" x14ac:dyDescent="0.3">
      <c r="A25" s="60"/>
      <c r="B25" s="24"/>
      <c r="C25" s="24"/>
      <c r="D25" s="24"/>
      <c r="E25" s="24"/>
      <c r="F25" s="24"/>
      <c r="G25" s="24"/>
      <c r="I25" s="59"/>
    </row>
    <row r="26" spans="1:9" ht="13" x14ac:dyDescent="0.3">
      <c r="A26" s="384" t="s">
        <v>892</v>
      </c>
      <c r="B26" s="24"/>
      <c r="C26" s="108">
        <f>'2324 Funding Detail'!V22</f>
        <v>21845833.333333332</v>
      </c>
      <c r="D26" s="24"/>
      <c r="E26" s="108">
        <f>'2425 Funding Detail'!U22</f>
        <v>23100833.333333332</v>
      </c>
      <c r="F26" s="24"/>
      <c r="G26" s="7">
        <f t="shared" ref="G26:G27" si="6">E26-C26</f>
        <v>1255000</v>
      </c>
      <c r="I26" s="383"/>
    </row>
    <row r="27" spans="1:9" ht="13" x14ac:dyDescent="0.3">
      <c r="A27" s="384" t="s">
        <v>891</v>
      </c>
      <c r="B27" s="24"/>
      <c r="C27" s="108">
        <f>C23-C26</f>
        <v>19400395.36374468</v>
      </c>
      <c r="D27" s="24"/>
      <c r="E27" s="108">
        <f>E23-E26</f>
        <v>21574772.756697174</v>
      </c>
      <c r="F27" s="24"/>
      <c r="G27" s="7">
        <f t="shared" si="6"/>
        <v>2174377.3929524943</v>
      </c>
      <c r="I27" s="59"/>
    </row>
    <row r="28" spans="1:9" x14ac:dyDescent="0.25">
      <c r="C28" s="7"/>
    </row>
    <row r="29" spans="1:9" x14ac:dyDescent="0.25">
      <c r="A29" s="101"/>
      <c r="C29" s="7"/>
      <c r="G29" s="7"/>
    </row>
    <row r="31" spans="1:9" x14ac:dyDescent="0.25">
      <c r="G31" s="7">
        <f>'2425 3.4% Allocations'!S49</f>
        <v>1333468.7959386415</v>
      </c>
      <c r="H31" s="101" t="s">
        <v>1087</v>
      </c>
    </row>
    <row r="32" spans="1:9" x14ac:dyDescent="0.25">
      <c r="G32" s="7">
        <v>330000</v>
      </c>
      <c r="H32" s="101" t="s">
        <v>1088</v>
      </c>
    </row>
    <row r="33" spans="1:14" ht="13.5" thickBot="1" x14ac:dyDescent="0.35">
      <c r="A33" s="59"/>
      <c r="G33" s="390">
        <f>G17-G31-G32</f>
        <v>1620410.8010752129</v>
      </c>
      <c r="H33" s="101" t="s">
        <v>1089</v>
      </c>
    </row>
    <row r="34" spans="1:14" x14ac:dyDescent="0.25">
      <c r="C34" s="7"/>
      <c r="D34" s="7"/>
      <c r="E34" s="7"/>
      <c r="F34" s="7"/>
      <c r="G34" s="7"/>
      <c r="H34" s="61"/>
    </row>
    <row r="35" spans="1:14" x14ac:dyDescent="0.25">
      <c r="C35" s="7"/>
      <c r="D35" s="7"/>
      <c r="E35" s="7"/>
      <c r="F35" s="7"/>
      <c r="G35" s="7"/>
      <c r="H35" s="61"/>
    </row>
    <row r="36" spans="1:14" x14ac:dyDescent="0.25">
      <c r="C36" s="7"/>
      <c r="D36" s="7"/>
      <c r="E36" s="7"/>
      <c r="F36" s="7"/>
      <c r="G36" s="7"/>
      <c r="H36" s="61"/>
      <c r="I36" s="61"/>
    </row>
    <row r="37" spans="1:14" x14ac:dyDescent="0.25">
      <c r="C37" s="7"/>
      <c r="D37" s="7"/>
      <c r="E37" s="7"/>
      <c r="F37" s="7"/>
      <c r="G37" s="7">
        <f>G8-C21</f>
        <v>2459911.5970138544</v>
      </c>
      <c r="H37" s="61">
        <f>G23-G15-G19-G20</f>
        <v>3793380.3929524962</v>
      </c>
      <c r="I37" s="101" t="s">
        <v>61</v>
      </c>
    </row>
    <row r="38" spans="1:14" x14ac:dyDescent="0.25">
      <c r="C38" s="7"/>
      <c r="D38" s="7"/>
      <c r="E38" s="7"/>
      <c r="F38" s="7"/>
      <c r="G38" s="7"/>
      <c r="H38" s="61"/>
    </row>
    <row r="39" spans="1:14" x14ac:dyDescent="0.25">
      <c r="C39" s="7"/>
      <c r="D39" s="7"/>
      <c r="E39" s="7"/>
      <c r="F39" s="7"/>
      <c r="G39" s="965">
        <v>1.661</v>
      </c>
      <c r="H39" t="s">
        <v>1090</v>
      </c>
    </row>
    <row r="40" spans="1:14" x14ac:dyDescent="0.25">
      <c r="C40" s="7"/>
      <c r="D40" s="7"/>
      <c r="E40" s="7"/>
      <c r="F40" s="7"/>
      <c r="G40" s="965">
        <v>0.51800000000000002</v>
      </c>
      <c r="H40" t="s">
        <v>1091</v>
      </c>
    </row>
    <row r="41" spans="1:14" x14ac:dyDescent="0.25">
      <c r="C41" s="7"/>
      <c r="D41" s="7"/>
      <c r="E41" s="7"/>
      <c r="F41" s="7"/>
      <c r="G41" s="965">
        <v>1.6319999999999999</v>
      </c>
      <c r="H41" t="s">
        <v>1092</v>
      </c>
    </row>
    <row r="42" spans="1:14" x14ac:dyDescent="0.25">
      <c r="C42" s="7"/>
      <c r="D42" s="7"/>
      <c r="E42" s="7"/>
      <c r="F42" s="7"/>
      <c r="G42" s="965">
        <v>0.66500000000000004</v>
      </c>
      <c r="H42" t="s">
        <v>1093</v>
      </c>
    </row>
    <row r="43" spans="1:14" x14ac:dyDescent="0.25">
      <c r="C43" s="7"/>
      <c r="D43" s="7"/>
      <c r="E43" s="7"/>
      <c r="F43" s="7"/>
      <c r="G43" s="966">
        <v>0.23400000000000001</v>
      </c>
      <c r="H43" s="560" t="s">
        <v>1094</v>
      </c>
    </row>
    <row r="44" spans="1:14" x14ac:dyDescent="0.25">
      <c r="C44" s="7"/>
      <c r="D44" s="7">
        <f>48729+71797+4661</f>
        <v>125187</v>
      </c>
      <c r="E44" s="7"/>
      <c r="F44" s="7"/>
      <c r="G44" s="965">
        <v>0.26300000000000001</v>
      </c>
      <c r="H44" s="101" t="s">
        <v>1097</v>
      </c>
      <c r="N44" s="61"/>
    </row>
    <row r="45" spans="1:14" x14ac:dyDescent="0.25">
      <c r="C45" s="7"/>
      <c r="D45" s="7">
        <f>321760-177733</f>
        <v>144027</v>
      </c>
      <c r="E45" s="7"/>
      <c r="F45" s="7"/>
      <c r="G45" s="965">
        <v>6.7000000000000004E-2</v>
      </c>
      <c r="H45" s="101" t="s">
        <v>1099</v>
      </c>
    </row>
    <row r="46" spans="1:14" x14ac:dyDescent="0.25">
      <c r="C46" s="7"/>
      <c r="D46" s="7"/>
      <c r="E46" s="7"/>
      <c r="F46" s="7"/>
      <c r="G46" s="965">
        <v>-1.355</v>
      </c>
      <c r="H46" t="s">
        <v>1095</v>
      </c>
    </row>
    <row r="47" spans="1:14" x14ac:dyDescent="0.25">
      <c r="C47" s="7"/>
      <c r="D47" s="7"/>
      <c r="E47" s="7"/>
      <c r="F47" s="7"/>
      <c r="G47" s="965">
        <f>SUM(G39:G46)</f>
        <v>3.6850000000000001</v>
      </c>
      <c r="H47" t="s">
        <v>1096</v>
      </c>
    </row>
    <row r="48" spans="1:14" x14ac:dyDescent="0.25">
      <c r="C48" s="7"/>
      <c r="D48" s="7"/>
      <c r="E48" s="965">
        <f>3.685-3.626</f>
        <v>5.9000000000000163E-2</v>
      </c>
      <c r="F48" s="7"/>
      <c r="G48" s="7"/>
    </row>
    <row r="49" spans="3:8" x14ac:dyDescent="0.25">
      <c r="C49" s="7"/>
      <c r="D49" s="7"/>
      <c r="E49" s="7"/>
      <c r="F49" s="7"/>
      <c r="G49" s="965">
        <v>-0.46400000000000002</v>
      </c>
      <c r="H49" s="101" t="s">
        <v>30</v>
      </c>
    </row>
    <row r="50" spans="3:8" x14ac:dyDescent="0.25">
      <c r="C50" s="7"/>
      <c r="D50" s="7"/>
      <c r="E50" s="7"/>
      <c r="F50" s="7"/>
      <c r="G50" s="965">
        <v>-0.33</v>
      </c>
      <c r="H50" s="101" t="s">
        <v>1100</v>
      </c>
    </row>
    <row r="51" spans="3:8" x14ac:dyDescent="0.25">
      <c r="C51" s="7"/>
      <c r="D51" s="7"/>
      <c r="E51" s="7"/>
      <c r="F51" s="7"/>
      <c r="G51" s="965">
        <f>G47+G49+G50</f>
        <v>2.891</v>
      </c>
    </row>
    <row r="52" spans="3:8" x14ac:dyDescent="0.25">
      <c r="C52" s="7"/>
      <c r="D52" s="7"/>
      <c r="E52" s="7"/>
      <c r="F52" s="7"/>
      <c r="G52" s="965"/>
    </row>
    <row r="53" spans="3:8" x14ac:dyDescent="0.25">
      <c r="C53" s="7"/>
      <c r="D53" s="7"/>
      <c r="E53" s="7"/>
      <c r="F53" s="7"/>
      <c r="G53" s="965"/>
    </row>
    <row r="54" spans="3:8" x14ac:dyDescent="0.25">
      <c r="C54" s="7"/>
      <c r="D54" s="7"/>
      <c r="E54" s="7"/>
      <c r="F54" s="7"/>
      <c r="G54" s="7"/>
    </row>
    <row r="55" spans="3:8" x14ac:dyDescent="0.25">
      <c r="C55" s="7"/>
      <c r="D55" s="7"/>
      <c r="E55" s="7"/>
      <c r="F55" s="7"/>
      <c r="G55" s="7"/>
    </row>
    <row r="56" spans="3:8" x14ac:dyDescent="0.25">
      <c r="C56" s="7"/>
      <c r="D56" s="7"/>
      <c r="E56" s="7"/>
      <c r="F56" s="7"/>
      <c r="G56"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dc9effd-76e4-4e94-b9b6-2836c4bb60de" xsi:nil="true"/>
    <lcf76f155ced4ddcb4097134ff3c332f xmlns="47ecd482-cba3-4a15-8a36-0d066dd3291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15" ma:contentTypeDescription="Create a new document." ma:contentTypeScope="" ma:versionID="a38d04d0be6bb4973f160e3996a09faf">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b2239c5a7793a88c20d955e384ff6d8b"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5710F-19BD-4CB5-89B9-4E3D9ACFB13C}">
  <ds:schemaRefs>
    <ds:schemaRef ds:uri="http://schemas.microsoft.com/sharepoint/v3/contenttype/forms"/>
  </ds:schemaRefs>
</ds:datastoreItem>
</file>

<file path=customXml/itemProps2.xml><?xml version="1.0" encoding="utf-8"?>
<ds:datastoreItem xmlns:ds="http://schemas.openxmlformats.org/officeDocument/2006/customXml" ds:itemID="{2C96245A-999E-4ED9-B23A-316E757E5424}">
  <ds:schemaRefs>
    <ds:schemaRef ds:uri="http://purl.org/dc/terms/"/>
    <ds:schemaRef ds:uri="http://schemas.microsoft.com/office/2006/documentManagement/types"/>
    <ds:schemaRef ds:uri="47ecd482-cba3-4a15-8a36-0d066dd3291d"/>
    <ds:schemaRef ds:uri="http://purl.org/dc/dcmitype/"/>
    <ds:schemaRef ds:uri="http://purl.org/dc/elements/1.1/"/>
    <ds:schemaRef ds:uri="8dc9effd-76e4-4e94-b9b6-2836c4bb60d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4C4228D-0340-4514-A5E7-43F4E4925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5</vt:i4>
      </vt:variant>
    </vt:vector>
  </HeadingPairs>
  <TitlesOfParts>
    <vt:vector size="50" baseType="lpstr">
      <vt:lpstr>Front Sheet - Please Read First</vt:lpstr>
      <vt:lpstr>ISB Weightings</vt:lpstr>
      <vt:lpstr>Budget Shares</vt:lpstr>
      <vt:lpstr>Funding Summary</vt:lpstr>
      <vt:lpstr>Local Protection</vt:lpstr>
      <vt:lpstr>MFG DfE Protection</vt:lpstr>
      <vt:lpstr>2425 0% MFG Calculation</vt:lpstr>
      <vt:lpstr>2324 Budget Requirement</vt:lpstr>
      <vt:lpstr>2425 Budget Requirement</vt:lpstr>
      <vt:lpstr>2223 Funding Detail</vt:lpstr>
      <vt:lpstr>2324 Funding Detail</vt:lpstr>
      <vt:lpstr>2425 Funding Detail</vt:lpstr>
      <vt:lpstr>2223 MFG Protection</vt:lpstr>
      <vt:lpstr>2324 MFG Protection</vt:lpstr>
      <vt:lpstr>2324 MFG Protection (2)</vt:lpstr>
      <vt:lpstr>2425 MFG Protection</vt:lpstr>
      <vt:lpstr>2324 3.4% Allocations</vt:lpstr>
      <vt:lpstr>School Size Ranges (2223)</vt:lpstr>
      <vt:lpstr>2425 3.4% Allocations</vt:lpstr>
      <vt:lpstr>2324 School Size Ranges</vt:lpstr>
      <vt:lpstr>2223 Group Sizes</vt:lpstr>
      <vt:lpstr>2324 FSM Calculation</vt:lpstr>
      <vt:lpstr>2425 FSM Calculation</vt:lpstr>
      <vt:lpstr>2223 FSM Calculation</vt:lpstr>
      <vt:lpstr>2324 Other Funding</vt:lpstr>
      <vt:lpstr>2425 Other Funding</vt:lpstr>
      <vt:lpstr>2223 Band Values</vt:lpstr>
      <vt:lpstr>2324 Band Values</vt:lpstr>
      <vt:lpstr>2425 School Size Ranges</vt:lpstr>
      <vt:lpstr>2425 Band Values</vt:lpstr>
      <vt:lpstr>2223 Teachers Pay Scales</vt:lpstr>
      <vt:lpstr>2425 GLEA Pay Scale</vt:lpstr>
      <vt:lpstr>2324 Teacher's Pay Scales</vt:lpstr>
      <vt:lpstr>2425 Teacher's Pay Scales</vt:lpstr>
      <vt:lpstr>2223 TA Pay Scales</vt:lpstr>
      <vt:lpstr>2324 TA Pay Scales</vt:lpstr>
      <vt:lpstr>2425 TA Pay Scales</vt:lpstr>
      <vt:lpstr>2223 Band Calculations</vt:lpstr>
      <vt:lpstr>2324 Band Calculations</vt:lpstr>
      <vt:lpstr>2425 Band Calculations</vt:lpstr>
      <vt:lpstr>2223 Band Moderations</vt:lpstr>
      <vt:lpstr>2324 Band Moderations</vt:lpstr>
      <vt:lpstr>2425 Band Moderations</vt:lpstr>
      <vt:lpstr>2324 OLEA Placements</vt:lpstr>
      <vt:lpstr>2425 OLEA Placements</vt:lpstr>
      <vt:lpstr>'Budget Shares'!Print_Area</vt:lpstr>
      <vt:lpstr>'Front Sheet - Please Read First'!Print_Area</vt:lpstr>
      <vt:lpstr>'Funding Summary'!Print_Area</vt:lpstr>
      <vt:lpstr>'ISB Weightings'!Print_Area</vt:lpstr>
      <vt:lpstr>'Local Protection'!Print_Area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mark.popplewell</dc:creator>
  <cp:keywords/>
  <dc:description/>
  <cp:lastModifiedBy>David Leonard</cp:lastModifiedBy>
  <cp:revision/>
  <cp:lastPrinted>2024-02-29T16:38:31Z</cp:lastPrinted>
  <dcterms:created xsi:type="dcterms:W3CDTF">2010-09-24T14:45:42Z</dcterms:created>
  <dcterms:modified xsi:type="dcterms:W3CDTF">2024-03-01T09:33:29Z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y fmtid="{D5CDD505-2E9C-101B-9397-08002B2CF9AE}" pid="3" name="MediaServiceImageTags">
    <vt:lpwstr/>
  </property>
</Properties>
</file>